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0"/>
  <workbookPr/>
  <mc:AlternateContent xmlns:mc="http://schemas.openxmlformats.org/markup-compatibility/2006">
    <mc:Choice Requires="x15">
      <x15ac:absPath xmlns:x15ac="http://schemas.microsoft.com/office/spreadsheetml/2010/11/ac" url="/Users/harrylopes/Downloads/"/>
    </mc:Choice>
  </mc:AlternateContent>
  <xr:revisionPtr revIDLastSave="0" documentId="8_{1B73E994-C2BA-7C49-B372-1CA0C7E77787}" xr6:coauthVersionLast="47" xr6:coauthVersionMax="47" xr10:uidLastSave="{00000000-0000-0000-0000-000000000000}"/>
  <bookViews>
    <workbookView xWindow="0" yWindow="0" windowWidth="30720" windowHeight="19200" xr2:uid="{00000000-000D-0000-FFFF-FFFF00000000}"/>
  </bookViews>
  <sheets>
    <sheet name="Cover" sheetId="9" r:id="rId1"/>
    <sheet name="Costing Schedule" sheetId="10"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29" i="10" l="1"/>
  <c r="B3" i="10" s="1"/>
  <c r="Y118" i="10"/>
  <c r="U118" i="10"/>
  <c r="O118" i="10"/>
  <c r="L118" i="10"/>
  <c r="B118" i="10"/>
  <c r="BV117" i="10"/>
  <c r="BS117" i="10"/>
  <c r="BR117" i="10"/>
  <c r="BQ117" i="10"/>
  <c r="BP117" i="10"/>
  <c r="BO117" i="10"/>
  <c r="BN117" i="10"/>
  <c r="BM117" i="10"/>
  <c r="BL117" i="10"/>
  <c r="BK117" i="10"/>
  <c r="BJ117" i="10"/>
  <c r="BI117" i="10"/>
  <c r="BH117" i="10"/>
  <c r="BG117" i="10"/>
  <c r="BF117" i="10"/>
  <c r="BE117" i="10"/>
  <c r="BD117" i="10"/>
  <c r="BC117" i="10"/>
  <c r="BB117" i="10"/>
  <c r="BA117" i="10"/>
  <c r="AZ117" i="10"/>
  <c r="AY117" i="10"/>
  <c r="AX117" i="10"/>
  <c r="AW117" i="10"/>
  <c r="AV117" i="10"/>
  <c r="AU117" i="10"/>
  <c r="AT117" i="10"/>
  <c r="AS117" i="10"/>
  <c r="AR117" i="10"/>
  <c r="AQ117" i="10"/>
  <c r="AP117" i="10"/>
  <c r="AO117" i="10"/>
  <c r="AN117" i="10"/>
  <c r="AM117" i="10"/>
  <c r="AL117" i="10"/>
  <c r="AK117" i="10"/>
  <c r="AJ117" i="10"/>
  <c r="AI117" i="10"/>
  <c r="AH117" i="10"/>
  <c r="AG117" i="10"/>
  <c r="AF117" i="10"/>
  <c r="AD117" i="10"/>
  <c r="AC117" i="10"/>
  <c r="P117" i="10"/>
  <c r="AE117" i="10" s="1"/>
  <c r="BV116" i="10"/>
  <c r="BS116" i="10"/>
  <c r="BR116" i="10"/>
  <c r="BQ116" i="10"/>
  <c r="BP116" i="10"/>
  <c r="BO116" i="10"/>
  <c r="BN116" i="10"/>
  <c r="BM116" i="10"/>
  <c r="BL116" i="10"/>
  <c r="BK116" i="10"/>
  <c r="BJ116" i="10"/>
  <c r="BI116" i="10"/>
  <c r="BH116" i="10"/>
  <c r="BG116" i="10"/>
  <c r="BF116" i="10"/>
  <c r="BE116" i="10"/>
  <c r="BD116" i="10"/>
  <c r="BC116" i="10"/>
  <c r="BB116" i="10"/>
  <c r="BA116" i="10"/>
  <c r="AZ116" i="10"/>
  <c r="AY116" i="10"/>
  <c r="AX116" i="10"/>
  <c r="AW116" i="10"/>
  <c r="AV116" i="10"/>
  <c r="AU116" i="10"/>
  <c r="AT116" i="10"/>
  <c r="AS116" i="10"/>
  <c r="AR116" i="10"/>
  <c r="AQ116" i="10"/>
  <c r="AP116" i="10"/>
  <c r="AO116" i="10"/>
  <c r="AN116" i="10"/>
  <c r="AM116" i="10"/>
  <c r="AL116" i="10"/>
  <c r="AK116" i="10"/>
  <c r="AJ116" i="10"/>
  <c r="AI116" i="10"/>
  <c r="AH116" i="10"/>
  <c r="AG116" i="10"/>
  <c r="AF116" i="10"/>
  <c r="AD116" i="10"/>
  <c r="AC116" i="10"/>
  <c r="P116" i="10"/>
  <c r="AE116" i="10" s="1"/>
  <c r="BV115" i="10"/>
  <c r="BS115" i="10"/>
  <c r="BR115" i="10"/>
  <c r="BQ115" i="10"/>
  <c r="BP115" i="10"/>
  <c r="BO115" i="10"/>
  <c r="BN115" i="10"/>
  <c r="BM115" i="10"/>
  <c r="BL115" i="10"/>
  <c r="BK115" i="10"/>
  <c r="BJ115" i="10"/>
  <c r="BI115" i="10"/>
  <c r="BH115" i="10"/>
  <c r="BG115" i="10"/>
  <c r="BF115" i="10"/>
  <c r="BE115" i="10"/>
  <c r="BD115" i="10"/>
  <c r="BC115" i="10"/>
  <c r="BB115" i="10"/>
  <c r="BA115" i="10"/>
  <c r="AZ115" i="10"/>
  <c r="AY115" i="10"/>
  <c r="AX115" i="10"/>
  <c r="AW115" i="10"/>
  <c r="AV115" i="10"/>
  <c r="AU115" i="10"/>
  <c r="AT115" i="10"/>
  <c r="AS115" i="10"/>
  <c r="AR115" i="10"/>
  <c r="AQ115" i="10"/>
  <c r="AP115" i="10"/>
  <c r="AO115" i="10"/>
  <c r="AN115" i="10"/>
  <c r="AM115" i="10"/>
  <c r="AL115" i="10"/>
  <c r="AK115" i="10"/>
  <c r="AJ115" i="10"/>
  <c r="AI115" i="10"/>
  <c r="AH115" i="10"/>
  <c r="AG115" i="10"/>
  <c r="AF115" i="10"/>
  <c r="AD115" i="10"/>
  <c r="AC115" i="10"/>
  <c r="P115" i="10"/>
  <c r="AE115" i="10" s="1"/>
  <c r="BV114" i="10"/>
  <c r="BS114" i="10"/>
  <c r="BR114" i="10"/>
  <c r="BQ114" i="10"/>
  <c r="BP114" i="10"/>
  <c r="BO114" i="10"/>
  <c r="BN114" i="10"/>
  <c r="BM114" i="10"/>
  <c r="BL114" i="10"/>
  <c r="BK114" i="10"/>
  <c r="BJ114" i="10"/>
  <c r="BI114" i="10"/>
  <c r="BH114" i="10"/>
  <c r="BG114" i="10"/>
  <c r="BF114" i="10"/>
  <c r="BE114" i="10"/>
  <c r="BD114" i="10"/>
  <c r="BC114" i="10"/>
  <c r="BB114" i="10"/>
  <c r="BA114" i="10"/>
  <c r="AZ114" i="10"/>
  <c r="AY114" i="10"/>
  <c r="AX114" i="10"/>
  <c r="AW114" i="10"/>
  <c r="AV114" i="10"/>
  <c r="AU114" i="10"/>
  <c r="AT114" i="10"/>
  <c r="AS114" i="10"/>
  <c r="AR114" i="10"/>
  <c r="AQ114" i="10"/>
  <c r="AP114" i="10"/>
  <c r="AO114" i="10"/>
  <c r="AN114" i="10"/>
  <c r="AM114" i="10"/>
  <c r="AL114" i="10"/>
  <c r="AK114" i="10"/>
  <c r="AJ114" i="10"/>
  <c r="AI114" i="10"/>
  <c r="AH114" i="10"/>
  <c r="AG114" i="10"/>
  <c r="AF114" i="10"/>
  <c r="AD114" i="10"/>
  <c r="AC114" i="10"/>
  <c r="P114" i="10"/>
  <c r="AE114" i="10" s="1"/>
  <c r="BX103" i="10"/>
  <c r="AD103" i="10"/>
  <c r="AC103" i="10"/>
  <c r="B103" i="10"/>
  <c r="BR102" i="10"/>
  <c r="BQ102" i="10"/>
  <c r="BP102" i="10"/>
  <c r="BO102" i="10"/>
  <c r="BM102" i="10"/>
  <c r="BL102" i="10"/>
  <c r="BK102" i="10"/>
  <c r="BJ102" i="10"/>
  <c r="BH102" i="10"/>
  <c r="BG102" i="10"/>
  <c r="BF102" i="10"/>
  <c r="BE102" i="10"/>
  <c r="BC102" i="10"/>
  <c r="BB102" i="10"/>
  <c r="BA102" i="10"/>
  <c r="AZ102" i="10"/>
  <c r="AX102" i="10"/>
  <c r="AW102" i="10"/>
  <c r="AV102" i="10"/>
  <c r="AU102" i="10"/>
  <c r="AS102" i="10"/>
  <c r="AR102" i="10"/>
  <c r="AQ102" i="10"/>
  <c r="AP102" i="10"/>
  <c r="AN102" i="10"/>
  <c r="AL102" i="10"/>
  <c r="Y102" i="10"/>
  <c r="U102" i="10"/>
  <c r="AG102" i="10" s="1"/>
  <c r="O102" i="10"/>
  <c r="L102" i="10"/>
  <c r="BR101" i="10"/>
  <c r="BQ101" i="10"/>
  <c r="BP101" i="10"/>
  <c r="BO101" i="10"/>
  <c r="BM101" i="10"/>
  <c r="BL101" i="10"/>
  <c r="BK101" i="10"/>
  <c r="BJ101" i="10"/>
  <c r="BH101" i="10"/>
  <c r="BG101" i="10"/>
  <c r="BF101" i="10"/>
  <c r="BE101" i="10"/>
  <c r="BC101" i="10"/>
  <c r="BB101" i="10"/>
  <c r="BA101" i="10"/>
  <c r="AZ101" i="10"/>
  <c r="AX101" i="10"/>
  <c r="AW101" i="10"/>
  <c r="AV101" i="10"/>
  <c r="AU101" i="10"/>
  <c r="AS101" i="10"/>
  <c r="AR101" i="10"/>
  <c r="AQ101" i="10"/>
  <c r="AP101" i="10"/>
  <c r="AN101" i="10"/>
  <c r="AL101" i="10"/>
  <c r="AE101" i="10"/>
  <c r="Y101" i="10"/>
  <c r="AO101" i="10" s="1"/>
  <c r="U101" i="10"/>
  <c r="AG101" i="10" s="1"/>
  <c r="O101" i="10"/>
  <c r="L101" i="10"/>
  <c r="BS100" i="10"/>
  <c r="BR100" i="10"/>
  <c r="BQ100" i="10"/>
  <c r="BP100" i="10"/>
  <c r="BO100" i="10"/>
  <c r="BN100" i="10"/>
  <c r="BM100" i="10"/>
  <c r="BL100" i="10"/>
  <c r="BK100" i="10"/>
  <c r="BJ100" i="10"/>
  <c r="BI100" i="10"/>
  <c r="BH100" i="10"/>
  <c r="BG100" i="10"/>
  <c r="BF100" i="10"/>
  <c r="BE100" i="10"/>
  <c r="BD100" i="10"/>
  <c r="BC100" i="10"/>
  <c r="BB100" i="10"/>
  <c r="BA100" i="10"/>
  <c r="AZ100" i="10"/>
  <c r="AY100" i="10"/>
  <c r="AX100" i="10"/>
  <c r="AW100" i="10"/>
  <c r="AV100" i="10"/>
  <c r="AU100" i="10"/>
  <c r="AT100" i="10"/>
  <c r="AS100" i="10"/>
  <c r="AR100" i="10"/>
  <c r="AQ100" i="10"/>
  <c r="AP100" i="10"/>
  <c r="AO100" i="10"/>
  <c r="AN100" i="10"/>
  <c r="AM100" i="10"/>
  <c r="AL100" i="10"/>
  <c r="AK100" i="10"/>
  <c r="AJ100" i="10"/>
  <c r="AI100" i="10"/>
  <c r="AH100" i="10"/>
  <c r="AG100" i="10"/>
  <c r="AF100" i="10"/>
  <c r="O100" i="10"/>
  <c r="L100" i="10"/>
  <c r="BS99" i="10"/>
  <c r="BR99" i="10"/>
  <c r="BQ99" i="10"/>
  <c r="BP99" i="10"/>
  <c r="BO99" i="10"/>
  <c r="BN99" i="10"/>
  <c r="BM99" i="10"/>
  <c r="BL99" i="10"/>
  <c r="BK99" i="10"/>
  <c r="BJ99" i="10"/>
  <c r="BI99" i="10"/>
  <c r="BH99" i="10"/>
  <c r="BG99" i="10"/>
  <c r="BF99" i="10"/>
  <c r="BE99" i="10"/>
  <c r="BD99" i="10"/>
  <c r="BC99" i="10"/>
  <c r="BB99" i="10"/>
  <c r="BA99" i="10"/>
  <c r="AZ99" i="10"/>
  <c r="AY99" i="10"/>
  <c r="AX99" i="10"/>
  <c r="AW99" i="10"/>
  <c r="AV99" i="10"/>
  <c r="AU99" i="10"/>
  <c r="AT99" i="10"/>
  <c r="AS99" i="10"/>
  <c r="AR99" i="10"/>
  <c r="AQ99" i="10"/>
  <c r="AP99" i="10"/>
  <c r="AO99" i="10"/>
  <c r="AN99" i="10"/>
  <c r="AM99" i="10"/>
  <c r="AL99" i="10"/>
  <c r="AK99" i="10"/>
  <c r="AJ99" i="10"/>
  <c r="AI99" i="10"/>
  <c r="AH99" i="10"/>
  <c r="AG99" i="10"/>
  <c r="AF99" i="10"/>
  <c r="O99" i="10"/>
  <c r="L99" i="10"/>
  <c r="B92" i="10"/>
  <c r="B37" i="10" s="1"/>
  <c r="B90" i="10"/>
  <c r="BV88" i="10"/>
  <c r="AD86" i="10"/>
  <c r="AD92" i="10" s="1"/>
  <c r="AC86" i="10"/>
  <c r="AC92" i="10" s="1"/>
  <c r="B86" i="10"/>
  <c r="B31" i="10" s="1"/>
  <c r="BV84" i="10"/>
  <c r="Y84" i="10"/>
  <c r="BQ84" i="10" s="1"/>
  <c r="U84" i="10"/>
  <c r="AH84" i="10" s="1"/>
  <c r="O84" i="10"/>
  <c r="L84" i="10"/>
  <c r="BV83" i="10"/>
  <c r="Y83" i="10"/>
  <c r="BD83" i="10" s="1"/>
  <c r="U83" i="10"/>
  <c r="AH83" i="10" s="1"/>
  <c r="O83" i="10"/>
  <c r="L83" i="10"/>
  <c r="BV82" i="10"/>
  <c r="Y82" i="10"/>
  <c r="BQ82" i="10" s="1"/>
  <c r="U82" i="10"/>
  <c r="AH82" i="10" s="1"/>
  <c r="O82" i="10"/>
  <c r="L82" i="10"/>
  <c r="BV81" i="10"/>
  <c r="Y81" i="10"/>
  <c r="AY81" i="10" s="1"/>
  <c r="U81" i="10"/>
  <c r="O81" i="10"/>
  <c r="L81" i="10"/>
  <c r="BV80" i="10"/>
  <c r="U80" i="10"/>
  <c r="AH80" i="10" s="1"/>
  <c r="O80" i="10"/>
  <c r="L80" i="10"/>
  <c r="BV79" i="10"/>
  <c r="Y79" i="10"/>
  <c r="BC79" i="10" s="1"/>
  <c r="U79" i="10"/>
  <c r="O79" i="10"/>
  <c r="L79" i="10"/>
  <c r="P79" i="10" s="1"/>
  <c r="AE79" i="10" s="1"/>
  <c r="BV78" i="10"/>
  <c r="Y78" i="10"/>
  <c r="BS78" i="10" s="1"/>
  <c r="U78" i="10"/>
  <c r="O78" i="10"/>
  <c r="L78" i="10"/>
  <c r="BV77" i="10"/>
  <c r="U77" i="10"/>
  <c r="AG77" i="10" s="1"/>
  <c r="O77" i="10"/>
  <c r="L77" i="10"/>
  <c r="BV76" i="10"/>
  <c r="U76" i="10"/>
  <c r="O76" i="10"/>
  <c r="L76" i="10"/>
  <c r="BV75" i="10"/>
  <c r="Y75" i="10"/>
  <c r="U75" i="10"/>
  <c r="AH75" i="10" s="1"/>
  <c r="O75" i="10"/>
  <c r="L75" i="10"/>
  <c r="BV74" i="10"/>
  <c r="Y74" i="10"/>
  <c r="BL74" i="10" s="1"/>
  <c r="U74" i="10"/>
  <c r="AG74" i="10" s="1"/>
  <c r="O74" i="10"/>
  <c r="L74" i="10"/>
  <c r="P74" i="10" s="1"/>
  <c r="AE74" i="10" s="1"/>
  <c r="BV73" i="10"/>
  <c r="Y73" i="10"/>
  <c r="BS73" i="10" s="1"/>
  <c r="U73" i="10"/>
  <c r="AF73" i="10" s="1"/>
  <c r="O73" i="10"/>
  <c r="L73" i="10"/>
  <c r="BV72" i="10"/>
  <c r="Y72" i="10"/>
  <c r="AK72" i="10" s="1"/>
  <c r="U72" i="10"/>
  <c r="F72" i="10"/>
  <c r="BO71" i="10"/>
  <c r="Y71" i="10"/>
  <c r="AP71" i="10" s="1"/>
  <c r="U71" i="10"/>
  <c r="O71" i="10"/>
  <c r="L71" i="10"/>
  <c r="BV70" i="10"/>
  <c r="BV71" i="10" s="1"/>
  <c r="Y70" i="10"/>
  <c r="BJ70" i="10" s="1"/>
  <c r="U70" i="10"/>
  <c r="AG70" i="10" s="1"/>
  <c r="F70" i="10"/>
  <c r="L70" i="10" s="1"/>
  <c r="BV69" i="10"/>
  <c r="Y69" i="10"/>
  <c r="BQ69" i="10" s="1"/>
  <c r="U69" i="10"/>
  <c r="O69" i="10"/>
  <c r="L69" i="10"/>
  <c r="BV68" i="10"/>
  <c r="Y68" i="10"/>
  <c r="AT68" i="10" s="1"/>
  <c r="O68" i="10"/>
  <c r="T68" i="10" s="1"/>
  <c r="U68" i="10" s="1"/>
  <c r="L68" i="10"/>
  <c r="P68" i="10" s="1"/>
  <c r="AE68" i="10" s="1"/>
  <c r="BV67" i="10"/>
  <c r="Y67" i="10"/>
  <c r="BL67" i="10" s="1"/>
  <c r="O67" i="10"/>
  <c r="T67" i="10" s="1"/>
  <c r="U67" i="10" s="1"/>
  <c r="AH67" i="10" s="1"/>
  <c r="L67" i="10"/>
  <c r="P67" i="10" s="1"/>
  <c r="AE67" i="10" s="1"/>
  <c r="Y66" i="10"/>
  <c r="BL66" i="10" s="1"/>
  <c r="O66" i="10"/>
  <c r="L66" i="10"/>
  <c r="BV65" i="10"/>
  <c r="BS65" i="10"/>
  <c r="BR65" i="10"/>
  <c r="BQ65" i="10"/>
  <c r="BP65" i="10"/>
  <c r="BO65" i="10"/>
  <c r="BN65" i="10"/>
  <c r="BM65" i="10"/>
  <c r="BL65" i="10"/>
  <c r="BK65" i="10"/>
  <c r="BJ65" i="10"/>
  <c r="BI65" i="10"/>
  <c r="BH65" i="10"/>
  <c r="BG65" i="10"/>
  <c r="BF65" i="10"/>
  <c r="BE65" i="10"/>
  <c r="BD65" i="10"/>
  <c r="BC65" i="10"/>
  <c r="BB65" i="10"/>
  <c r="BA65" i="10"/>
  <c r="AZ65" i="10"/>
  <c r="AY65" i="10"/>
  <c r="AX65" i="10"/>
  <c r="AW65" i="10"/>
  <c r="AV65" i="10"/>
  <c r="AU65" i="10"/>
  <c r="AT65" i="10"/>
  <c r="AS65" i="10"/>
  <c r="AR65" i="10"/>
  <c r="AQ65" i="10"/>
  <c r="AP65" i="10"/>
  <c r="AO65" i="10"/>
  <c r="AN65" i="10"/>
  <c r="AM65" i="10"/>
  <c r="AL65" i="10"/>
  <c r="AK65" i="10"/>
  <c r="AI65" i="10"/>
  <c r="U65" i="10"/>
  <c r="F65" i="10"/>
  <c r="BV64" i="10"/>
  <c r="BV66" i="10" s="1"/>
  <c r="Y64" i="10"/>
  <c r="BN64" i="10" s="1"/>
  <c r="O64" i="10"/>
  <c r="L64" i="10"/>
  <c r="G63" i="10"/>
  <c r="G86" i="10" s="1"/>
  <c r="BV62" i="10"/>
  <c r="BO62" i="10"/>
  <c r="W62" i="10"/>
  <c r="Y62" i="10" s="1"/>
  <c r="AI62" i="10" s="1"/>
  <c r="O62" i="10"/>
  <c r="T62" i="10" s="1"/>
  <c r="U62" i="10" s="1"/>
  <c r="N62" i="10"/>
  <c r="L62" i="10"/>
  <c r="K62" i="10"/>
  <c r="BS61" i="10"/>
  <c r="BR61" i="10"/>
  <c r="BQ61" i="10"/>
  <c r="BP61" i="10"/>
  <c r="BO61" i="10"/>
  <c r="BN61" i="10"/>
  <c r="BM61" i="10"/>
  <c r="BL61" i="10"/>
  <c r="BK61" i="10"/>
  <c r="BJ61" i="10"/>
  <c r="BI61" i="10"/>
  <c r="BH61" i="10"/>
  <c r="BG61" i="10"/>
  <c r="BF61" i="10"/>
  <c r="BE61" i="10"/>
  <c r="BD61" i="10"/>
  <c r="BC61" i="10"/>
  <c r="BB61" i="10"/>
  <c r="BA61" i="10"/>
  <c r="AZ61" i="10"/>
  <c r="AY61" i="10"/>
  <c r="AX61" i="10"/>
  <c r="AW61" i="10"/>
  <c r="AV61" i="10"/>
  <c r="AU61" i="10"/>
  <c r="AT61" i="10"/>
  <c r="AS61" i="10"/>
  <c r="AR61" i="10"/>
  <c r="AQ61" i="10"/>
  <c r="AP61" i="10"/>
  <c r="AO61" i="10"/>
  <c r="AN61" i="10"/>
  <c r="AM61" i="10"/>
  <c r="AL61" i="10"/>
  <c r="AK61" i="10"/>
  <c r="AJ61" i="10"/>
  <c r="AI61" i="10"/>
  <c r="W61" i="10"/>
  <c r="O61" i="10"/>
  <c r="L61" i="10"/>
  <c r="BS60" i="10"/>
  <c r="BR60" i="10"/>
  <c r="BQ60" i="10"/>
  <c r="BP60" i="10"/>
  <c r="BO60" i="10"/>
  <c r="BN60" i="10"/>
  <c r="BM60" i="10"/>
  <c r="BL60" i="10"/>
  <c r="BK60" i="10"/>
  <c r="BJ60" i="10"/>
  <c r="BI60" i="10"/>
  <c r="BH60" i="10"/>
  <c r="BG60" i="10"/>
  <c r="BF60" i="10"/>
  <c r="BE60" i="10"/>
  <c r="BD60" i="10"/>
  <c r="BC60" i="10"/>
  <c r="BB60" i="10"/>
  <c r="BA60" i="10"/>
  <c r="AZ60" i="10"/>
  <c r="AY60" i="10"/>
  <c r="AX60" i="10"/>
  <c r="AW60" i="10"/>
  <c r="AV60" i="10"/>
  <c r="AU60" i="10"/>
  <c r="AT60" i="10"/>
  <c r="AS60" i="10"/>
  <c r="AR60" i="10"/>
  <c r="AQ60" i="10"/>
  <c r="AP60" i="10"/>
  <c r="AO60" i="10"/>
  <c r="AN60" i="10"/>
  <c r="AM60" i="10"/>
  <c r="AL60" i="10"/>
  <c r="AK60" i="10"/>
  <c r="AJ60" i="10"/>
  <c r="AI60" i="10"/>
  <c r="W60" i="10"/>
  <c r="O60" i="10"/>
  <c r="L60" i="10"/>
  <c r="BV59" i="10"/>
  <c r="BV61" i="10" s="1"/>
  <c r="BS59" i="10"/>
  <c r="BR59" i="10"/>
  <c r="BQ59" i="10"/>
  <c r="BP59" i="10"/>
  <c r="BO59" i="10"/>
  <c r="BN59" i="10"/>
  <c r="BM59" i="10"/>
  <c r="BL59" i="10"/>
  <c r="BK59" i="10"/>
  <c r="BJ59" i="10"/>
  <c r="BI59" i="10"/>
  <c r="BH59" i="10"/>
  <c r="BG59" i="10"/>
  <c r="BF59" i="10"/>
  <c r="BE59" i="10"/>
  <c r="BD59" i="10"/>
  <c r="BC59" i="10"/>
  <c r="BB59" i="10"/>
  <c r="BA59" i="10"/>
  <c r="AZ59" i="10"/>
  <c r="AY59" i="10"/>
  <c r="AX59" i="10"/>
  <c r="AW59" i="10"/>
  <c r="AV59" i="10"/>
  <c r="AU59" i="10"/>
  <c r="AT59" i="10"/>
  <c r="AS59" i="10"/>
  <c r="AR59" i="10"/>
  <c r="AQ59" i="10"/>
  <c r="AP59" i="10"/>
  <c r="AO59" i="10"/>
  <c r="AN59" i="10"/>
  <c r="AM59" i="10"/>
  <c r="AL59" i="10"/>
  <c r="AK59" i="10"/>
  <c r="AJ59" i="10"/>
  <c r="AI59" i="10"/>
  <c r="W59" i="10"/>
  <c r="O59" i="10"/>
  <c r="T59" i="10" s="1"/>
  <c r="U59" i="10" s="1"/>
  <c r="L59" i="10"/>
  <c r="BV58" i="10"/>
  <c r="Y58" i="10"/>
  <c r="AZ58" i="10" s="1"/>
  <c r="U58" i="10"/>
  <c r="AF58" i="10" s="1"/>
  <c r="O58" i="10"/>
  <c r="L58" i="10"/>
  <c r="BV57" i="10"/>
  <c r="Y57" i="10"/>
  <c r="BN57" i="10" s="1"/>
  <c r="O57" i="10"/>
  <c r="L57" i="10"/>
  <c r="K57" i="10"/>
  <c r="T57" i="10" s="1"/>
  <c r="U57" i="10" s="1"/>
  <c r="BV56" i="10"/>
  <c r="BL56" i="10"/>
  <c r="BF56" i="10"/>
  <c r="BE56" i="10"/>
  <c r="BD56" i="10"/>
  <c r="BC56" i="10"/>
  <c r="AX56" i="10"/>
  <c r="AW56" i="10"/>
  <c r="AV56" i="10"/>
  <c r="AU56" i="10"/>
  <c r="AP56" i="10"/>
  <c r="AO56" i="10"/>
  <c r="AN56" i="10"/>
  <c r="AM56" i="10"/>
  <c r="Y56" i="10"/>
  <c r="BR56" i="10" s="1"/>
  <c r="U56" i="10"/>
  <c r="AH56" i="10" s="1"/>
  <c r="O56" i="10"/>
  <c r="L56" i="10"/>
  <c r="BV55" i="10"/>
  <c r="Y55" i="10"/>
  <c r="BR55" i="10" s="1"/>
  <c r="T55" i="10"/>
  <c r="O55" i="10"/>
  <c r="L55" i="10"/>
  <c r="P55" i="10" s="1"/>
  <c r="AE55" i="10" s="1"/>
  <c r="BV54" i="10"/>
  <c r="Y54" i="10"/>
  <c r="BL54" i="10" s="1"/>
  <c r="U54" i="10"/>
  <c r="O54" i="10"/>
  <c r="L54" i="10"/>
  <c r="Y53" i="10"/>
  <c r="BL53" i="10" s="1"/>
  <c r="U53" i="10"/>
  <c r="O53" i="10"/>
  <c r="L53" i="10"/>
  <c r="BV52" i="10"/>
  <c r="AU52" i="10"/>
  <c r="AR52" i="10"/>
  <c r="AQ52" i="10"/>
  <c r="Y52" i="10"/>
  <c r="BC52" i="10" s="1"/>
  <c r="U52" i="10"/>
  <c r="O52" i="10"/>
  <c r="K52" i="10"/>
  <c r="L52" i="10" s="1"/>
  <c r="B41" i="10"/>
  <c r="B39" i="10"/>
  <c r="W35" i="10"/>
  <c r="V35" i="10"/>
  <c r="S35" i="10"/>
  <c r="R35" i="10"/>
  <c r="Q35" i="10"/>
  <c r="J35" i="10"/>
  <c r="I35" i="10"/>
  <c r="W33" i="10"/>
  <c r="V33" i="10"/>
  <c r="S33" i="10"/>
  <c r="R33" i="10"/>
  <c r="Q33" i="10"/>
  <c r="M33" i="10"/>
  <c r="B33" i="10"/>
  <c r="AD31" i="10"/>
  <c r="AC31" i="10"/>
  <c r="W30" i="10"/>
  <c r="V30" i="10"/>
  <c r="S30" i="10"/>
  <c r="R30" i="10"/>
  <c r="Q30" i="10"/>
  <c r="M30" i="10"/>
  <c r="J30" i="10"/>
  <c r="I30" i="10"/>
  <c r="E30" i="10"/>
  <c r="C30" i="10"/>
  <c r="W29" i="10"/>
  <c r="V29" i="10"/>
  <c r="S29" i="10"/>
  <c r="R29" i="10"/>
  <c r="Q29" i="10"/>
  <c r="M29" i="10"/>
  <c r="J29" i="10"/>
  <c r="I29" i="10"/>
  <c r="E29" i="10"/>
  <c r="C29" i="10"/>
  <c r="B29" i="10"/>
  <c r="W28" i="10"/>
  <c r="V28" i="10"/>
  <c r="S28" i="10"/>
  <c r="R28" i="10"/>
  <c r="Q28" i="10"/>
  <c r="M28" i="10"/>
  <c r="J28" i="10"/>
  <c r="I28" i="10"/>
  <c r="E28" i="10"/>
  <c r="C28" i="10"/>
  <c r="B28" i="10"/>
  <c r="W27" i="10"/>
  <c r="V27" i="10"/>
  <c r="S27" i="10"/>
  <c r="R27" i="10"/>
  <c r="Q27" i="10"/>
  <c r="M27" i="10"/>
  <c r="J27" i="10"/>
  <c r="I27" i="10"/>
  <c r="E27" i="10"/>
  <c r="C27" i="10"/>
  <c r="W26" i="10"/>
  <c r="V26" i="10"/>
  <c r="S26" i="10"/>
  <c r="R26" i="10"/>
  <c r="Q26" i="10"/>
  <c r="M26" i="10"/>
  <c r="J26" i="10"/>
  <c r="I26" i="10"/>
  <c r="E26" i="10"/>
  <c r="C26" i="10"/>
  <c r="W25" i="10"/>
  <c r="V25" i="10"/>
  <c r="S25" i="10"/>
  <c r="R25" i="10"/>
  <c r="Q25" i="10"/>
  <c r="M25" i="10"/>
  <c r="J25" i="10"/>
  <c r="I25" i="10"/>
  <c r="E25" i="10"/>
  <c r="C25" i="10"/>
  <c r="W24" i="10"/>
  <c r="V24" i="10"/>
  <c r="S24" i="10"/>
  <c r="R24" i="10"/>
  <c r="Q24" i="10"/>
  <c r="M24" i="10"/>
  <c r="J24" i="10"/>
  <c r="I24" i="10"/>
  <c r="E24" i="10"/>
  <c r="C24" i="10"/>
  <c r="W23" i="10"/>
  <c r="V23" i="10"/>
  <c r="S23" i="10"/>
  <c r="R23" i="10"/>
  <c r="Q23" i="10"/>
  <c r="M23" i="10"/>
  <c r="J23" i="10"/>
  <c r="I23" i="10"/>
  <c r="E23" i="10"/>
  <c r="C23" i="10"/>
  <c r="W22" i="10"/>
  <c r="V22" i="10"/>
  <c r="S22" i="10"/>
  <c r="R22" i="10"/>
  <c r="Q22" i="10"/>
  <c r="M22" i="10"/>
  <c r="J22" i="10"/>
  <c r="I22" i="10"/>
  <c r="E22" i="10"/>
  <c r="C22" i="10"/>
  <c r="W21" i="10"/>
  <c r="V21" i="10"/>
  <c r="S21" i="10"/>
  <c r="R21" i="10"/>
  <c r="Q21" i="10"/>
  <c r="M21" i="10"/>
  <c r="J21" i="10"/>
  <c r="I21" i="10"/>
  <c r="E21" i="10"/>
  <c r="C21" i="10"/>
  <c r="B21" i="10"/>
  <c r="W20" i="10"/>
  <c r="V20" i="10"/>
  <c r="S20" i="10"/>
  <c r="R20" i="10"/>
  <c r="Q20" i="10"/>
  <c r="M20" i="10"/>
  <c r="J20" i="10"/>
  <c r="I20" i="10"/>
  <c r="E20" i="10"/>
  <c r="C20" i="10"/>
  <c r="W19" i="10"/>
  <c r="V19" i="10"/>
  <c r="S19" i="10"/>
  <c r="R19" i="10"/>
  <c r="Q19" i="10"/>
  <c r="M19" i="10"/>
  <c r="J19" i="10"/>
  <c r="I19" i="10"/>
  <c r="E19" i="10"/>
  <c r="C19" i="10"/>
  <c r="W18" i="10"/>
  <c r="V18" i="10"/>
  <c r="S18" i="10"/>
  <c r="R18" i="10"/>
  <c r="Q18" i="10"/>
  <c r="M18" i="10"/>
  <c r="J18" i="10"/>
  <c r="I18" i="10"/>
  <c r="E18" i="10"/>
  <c r="C18" i="10"/>
  <c r="B18" i="10"/>
  <c r="W17" i="10"/>
  <c r="V17" i="10"/>
  <c r="S17" i="10"/>
  <c r="R17" i="10"/>
  <c r="Q17" i="10"/>
  <c r="M17" i="10"/>
  <c r="J17" i="10"/>
  <c r="I17" i="10"/>
  <c r="E17" i="10"/>
  <c r="C17" i="10"/>
  <c r="B17" i="10"/>
  <c r="W16" i="10"/>
  <c r="V16" i="10"/>
  <c r="S16" i="10"/>
  <c r="R16" i="10"/>
  <c r="Q16" i="10"/>
  <c r="M16" i="10"/>
  <c r="J16" i="10"/>
  <c r="I16" i="10"/>
  <c r="E16" i="10"/>
  <c r="C16" i="10"/>
  <c r="W15" i="10"/>
  <c r="V15" i="10"/>
  <c r="S15" i="10"/>
  <c r="R15" i="10"/>
  <c r="Q15" i="10"/>
  <c r="M15" i="10"/>
  <c r="J15" i="10"/>
  <c r="I15" i="10"/>
  <c r="E15" i="10"/>
  <c r="C15" i="10"/>
  <c r="W14" i="10"/>
  <c r="V14" i="10"/>
  <c r="S14" i="10"/>
  <c r="R14" i="10"/>
  <c r="Q14" i="10"/>
  <c r="M14" i="10"/>
  <c r="J14" i="10"/>
  <c r="I14" i="10"/>
  <c r="C14" i="10"/>
  <c r="W13" i="10"/>
  <c r="V13" i="10"/>
  <c r="S13" i="10"/>
  <c r="R13" i="10"/>
  <c r="Q13" i="10"/>
  <c r="M13" i="10"/>
  <c r="J13" i="10"/>
  <c r="I13" i="10"/>
  <c r="E13" i="10"/>
  <c r="C13" i="10"/>
  <c r="B13" i="10"/>
  <c r="W12" i="10"/>
  <c r="V12" i="10"/>
  <c r="S12" i="10"/>
  <c r="R12" i="10"/>
  <c r="Q12" i="10"/>
  <c r="M12" i="10"/>
  <c r="J12" i="10"/>
  <c r="I12" i="10"/>
  <c r="E12" i="10"/>
  <c r="C12" i="10"/>
  <c r="Q11" i="10"/>
  <c r="C11" i="10"/>
  <c r="W10" i="10"/>
  <c r="V10" i="10"/>
  <c r="S10" i="10"/>
  <c r="R10" i="10"/>
  <c r="Q10" i="10"/>
  <c r="M10" i="10"/>
  <c r="J10" i="10"/>
  <c r="I10" i="10"/>
  <c r="E10" i="10"/>
  <c r="C10" i="10"/>
  <c r="W9" i="10"/>
  <c r="V9" i="10"/>
  <c r="S9" i="10"/>
  <c r="R9" i="10"/>
  <c r="Q9" i="10"/>
  <c r="M9" i="10"/>
  <c r="J9" i="10"/>
  <c r="I9" i="10"/>
  <c r="E9" i="10"/>
  <c r="C9" i="10"/>
  <c r="W8" i="10"/>
  <c r="V8" i="10"/>
  <c r="S8" i="10"/>
  <c r="R8" i="10"/>
  <c r="Q8" i="10"/>
  <c r="M8" i="10"/>
  <c r="J8" i="10"/>
  <c r="I8" i="10"/>
  <c r="C8" i="10"/>
  <c r="W7" i="10"/>
  <c r="V7" i="10"/>
  <c r="S7" i="10"/>
  <c r="R7" i="10"/>
  <c r="Q7" i="10"/>
  <c r="M7" i="10"/>
  <c r="J7" i="10"/>
  <c r="I7" i="10"/>
  <c r="E7" i="10"/>
  <c r="C7" i="10"/>
  <c r="B7" i="10"/>
  <c r="BS3" i="10"/>
  <c r="AE3" i="10"/>
  <c r="BD3" i="10" s="1"/>
  <c r="AD3" i="10"/>
  <c r="AC3" i="10"/>
  <c r="P83" i="10" l="1"/>
  <c r="AE83" i="10" s="1"/>
  <c r="P99" i="10"/>
  <c r="AE99" i="10" s="1"/>
  <c r="AF83" i="10"/>
  <c r="AY52" i="10"/>
  <c r="P101" i="10"/>
  <c r="AW52" i="10"/>
  <c r="BE52" i="10"/>
  <c r="AT3" i="10"/>
  <c r="BF52" i="10"/>
  <c r="AS71" i="10"/>
  <c r="AU3" i="10"/>
  <c r="BB3" i="10"/>
  <c r="BD71" i="10"/>
  <c r="BF3" i="10"/>
  <c r="BH71" i="10"/>
  <c r="AZ52" i="10"/>
  <c r="BN3" i="10"/>
  <c r="BI71" i="10"/>
  <c r="AJ53" i="10"/>
  <c r="BB79" i="10"/>
  <c r="AX53" i="10"/>
  <c r="AJ69" i="10"/>
  <c r="AM53" i="10"/>
  <c r="BC57" i="10"/>
  <c r="AV72" i="10"/>
  <c r="AJ74" i="10"/>
  <c r="BE54" i="10"/>
  <c r="AQ57" i="10"/>
  <c r="BH52" i="10"/>
  <c r="AZ53" i="10"/>
  <c r="BK57" i="10"/>
  <c r="P60" i="10"/>
  <c r="AE60" i="10" s="1"/>
  <c r="BB72" i="10"/>
  <c r="AO74" i="10"/>
  <c r="AP57" i="10"/>
  <c r="BJ66" i="10"/>
  <c r="BK66" i="10"/>
  <c r="L90" i="10"/>
  <c r="BK52" i="10"/>
  <c r="BC53" i="10"/>
  <c r="BC72" i="10"/>
  <c r="AP74" i="10"/>
  <c r="BM69" i="10"/>
  <c r="BN52" i="10"/>
  <c r="BK53" i="10"/>
  <c r="BD72" i="10"/>
  <c r="AR74" i="10"/>
  <c r="BS54" i="10"/>
  <c r="AI52" i="10"/>
  <c r="BM53" i="10"/>
  <c r="BP74" i="10"/>
  <c r="AU66" i="10"/>
  <c r="BC54" i="10"/>
  <c r="AR57" i="10"/>
  <c r="BA57" i="10"/>
  <c r="BO52" i="10"/>
  <c r="B35" i="10"/>
  <c r="AJ52" i="10"/>
  <c r="BP52" i="10"/>
  <c r="BO53" i="10"/>
  <c r="BR74" i="10"/>
  <c r="AH74" i="10"/>
  <c r="AY53" i="10"/>
  <c r="AM52" i="10"/>
  <c r="BS52" i="10"/>
  <c r="BS53" i="10"/>
  <c r="AX62" i="10"/>
  <c r="BS74" i="10"/>
  <c r="P78" i="10"/>
  <c r="AE78" i="10" s="1"/>
  <c r="AZ103" i="10"/>
  <c r="Y90" i="10"/>
  <c r="AZ90" i="10" s="1"/>
  <c r="AO57" i="10"/>
  <c r="BF54" i="10"/>
  <c r="AP53" i="10"/>
  <c r="AK3" i="10"/>
  <c r="AM3" i="10"/>
  <c r="AR3" i="10"/>
  <c r="AO52" i="10"/>
  <c r="AZ62" i="10"/>
  <c r="AF102" i="10"/>
  <c r="BG66" i="10"/>
  <c r="AL69" i="10"/>
  <c r="AF74" i="10"/>
  <c r="AS3" i="10"/>
  <c r="AP52" i="10"/>
  <c r="P59" i="10"/>
  <c r="AE59" i="10" s="1"/>
  <c r="BN62" i="10"/>
  <c r="P69" i="10"/>
  <c r="AE69" i="10" s="1"/>
  <c r="BB103" i="10"/>
  <c r="AH102" i="10"/>
  <c r="P57" i="10"/>
  <c r="AE57" i="10" s="1"/>
  <c r="AJ70" i="10"/>
  <c r="AM81" i="10"/>
  <c r="BF53" i="10"/>
  <c r="BN58" i="10"/>
  <c r="AL67" i="10"/>
  <c r="BC68" i="10"/>
  <c r="AR70" i="10"/>
  <c r="AP73" i="10"/>
  <c r="AO81" i="10"/>
  <c r="AO83" i="10"/>
  <c r="AM67" i="10"/>
  <c r="AT70" i="10"/>
  <c r="AS73" i="10"/>
  <c r="P77" i="10"/>
  <c r="X77" i="10" s="1"/>
  <c r="Y77" i="10" s="1"/>
  <c r="BL81" i="10"/>
  <c r="BA83" i="10"/>
  <c r="BE103" i="10"/>
  <c r="BE39" i="10" s="1"/>
  <c r="AT67" i="10"/>
  <c r="AV70" i="10"/>
  <c r="AT73" i="10"/>
  <c r="BC83" i="10"/>
  <c r="AP103" i="10"/>
  <c r="AP39" i="10" s="1"/>
  <c r="BF103" i="10"/>
  <c r="BF39" i="10" s="1"/>
  <c r="AH118" i="10"/>
  <c r="AX118" i="10"/>
  <c r="AH70" i="10"/>
  <c r="AU67" i="10"/>
  <c r="AX70" i="10"/>
  <c r="AU73" i="10"/>
  <c r="BL83" i="10"/>
  <c r="AI118" i="10"/>
  <c r="AY118" i="10"/>
  <c r="BO118" i="10"/>
  <c r="AG73" i="10"/>
  <c r="BP53" i="10"/>
  <c r="P61" i="10"/>
  <c r="AE61" i="10" s="1"/>
  <c r="AV67" i="10"/>
  <c r="BN70" i="10"/>
  <c r="AL72" i="10"/>
  <c r="BK73" i="10"/>
  <c r="P82" i="10"/>
  <c r="AE82" i="10" s="1"/>
  <c r="BM83" i="10"/>
  <c r="T60" i="10"/>
  <c r="U60" i="10" s="1"/>
  <c r="AH60" i="10" s="1"/>
  <c r="BK58" i="10"/>
  <c r="AZ67" i="10"/>
  <c r="BR70" i="10"/>
  <c r="BL73" i="10"/>
  <c r="P80" i="10"/>
  <c r="AE80" i="10" s="1"/>
  <c r="AK118" i="10"/>
  <c r="BA118" i="10"/>
  <c r="BB67" i="10"/>
  <c r="AL118" i="10"/>
  <c r="BB118" i="10"/>
  <c r="BR118" i="10"/>
  <c r="AJ58" i="10"/>
  <c r="AN83" i="10"/>
  <c r="BC67" i="10"/>
  <c r="P71" i="10"/>
  <c r="AE71" i="10" s="1"/>
  <c r="AQ82" i="10"/>
  <c r="P84" i="10"/>
  <c r="AE84" i="10" s="1"/>
  <c r="AM118" i="10"/>
  <c r="BC118" i="10"/>
  <c r="BS118" i="10"/>
  <c r="AM83" i="10"/>
  <c r="BI67" i="10"/>
  <c r="AR78" i="10"/>
  <c r="AF80" i="10"/>
  <c r="AN118" i="10"/>
  <c r="AQ53" i="10"/>
  <c r="AR53" i="10"/>
  <c r="BM56" i="10"/>
  <c r="BR66" i="10"/>
  <c r="BM67" i="10"/>
  <c r="BO69" i="10"/>
  <c r="AT78" i="10"/>
  <c r="P102" i="10"/>
  <c r="AE102" i="10" s="1"/>
  <c r="AK81" i="10"/>
  <c r="AJ67" i="10"/>
  <c r="AU53" i="10"/>
  <c r="AR54" i="10"/>
  <c r="BN56" i="10"/>
  <c r="BN67" i="10"/>
  <c r="AF75" i="10"/>
  <c r="BC78" i="10"/>
  <c r="AY84" i="10"/>
  <c r="AP118" i="10"/>
  <c r="BF118" i="10"/>
  <c r="AA117" i="10"/>
  <c r="AI58" i="10"/>
  <c r="AH73" i="10"/>
  <c r="BM52" i="10"/>
  <c r="AW53" i="10"/>
  <c r="AY54" i="10"/>
  <c r="AF56" i="10"/>
  <c r="BS56" i="10"/>
  <c r="AL71" i="10"/>
  <c r="BH78" i="10"/>
  <c r="AQ118" i="10"/>
  <c r="BG118" i="10"/>
  <c r="P54" i="10"/>
  <c r="AE54" i="10" s="1"/>
  <c r="BJ3" i="10"/>
  <c r="AU54" i="10"/>
  <c r="BE55" i="10"/>
  <c r="BC58" i="10"/>
  <c r="AV66" i="10"/>
  <c r="AV68" i="10"/>
  <c r="BC69" i="10"/>
  <c r="AK70" i="10"/>
  <c r="BO70" i="10"/>
  <c r="AX71" i="10"/>
  <c r="AM72" i="10"/>
  <c r="BI74" i="10"/>
  <c r="BM81" i="10"/>
  <c r="AU103" i="10"/>
  <c r="AU39" i="10" s="1"/>
  <c r="BK103" i="10"/>
  <c r="BK39" i="10" s="1"/>
  <c r="AR103" i="10"/>
  <c r="AR39" i="10" s="1"/>
  <c r="AD118" i="10"/>
  <c r="AU118" i="10"/>
  <c r="BK118" i="10"/>
  <c r="AI3" i="10"/>
  <c r="BK3" i="10"/>
  <c r="BG52" i="10"/>
  <c r="AO53" i="10"/>
  <c r="BN53" i="10"/>
  <c r="AW54" i="10"/>
  <c r="BF55" i="10"/>
  <c r="P58" i="10"/>
  <c r="AE58" i="10" s="1"/>
  <c r="BE58" i="10"/>
  <c r="AN62" i="10"/>
  <c r="AY66" i="10"/>
  <c r="AK67" i="10"/>
  <c r="BR67" i="10"/>
  <c r="AY68" i="10"/>
  <c r="BE69" i="10"/>
  <c r="AL70" i="10"/>
  <c r="BP70" i="10"/>
  <c r="AY71" i="10"/>
  <c r="AN72" i="10"/>
  <c r="BJ74" i="10"/>
  <c r="AI78" i="10"/>
  <c r="BO81" i="10"/>
  <c r="BO83" i="10"/>
  <c r="AV103" i="10"/>
  <c r="BL103" i="10"/>
  <c r="BL39" i="10" s="1"/>
  <c r="AL103" i="10"/>
  <c r="AL39" i="10" s="1"/>
  <c r="BR103" i="10"/>
  <c r="BR39" i="10" s="1"/>
  <c r="AF118" i="10"/>
  <c r="AV118" i="10"/>
  <c r="BL118" i="10"/>
  <c r="AJ3" i="10"/>
  <c r="BL3" i="10"/>
  <c r="AX54" i="10"/>
  <c r="BK55" i="10"/>
  <c r="BF58" i="10"/>
  <c r="BV60" i="10"/>
  <c r="AP62" i="10"/>
  <c r="BD66" i="10"/>
  <c r="AZ68" i="10"/>
  <c r="BH69" i="10"/>
  <c r="AP70" i="10"/>
  <c r="BQ70" i="10"/>
  <c r="AZ71" i="10"/>
  <c r="AT72" i="10"/>
  <c r="BK74" i="10"/>
  <c r="AQ78" i="10"/>
  <c r="BQ81" i="10"/>
  <c r="BQ83" i="10"/>
  <c r="AG103" i="10"/>
  <c r="BM103" i="10"/>
  <c r="BM39" i="10" s="1"/>
  <c r="BO103" i="10"/>
  <c r="BO39" i="10" s="1"/>
  <c r="BG58" i="10"/>
  <c r="BA68" i="10"/>
  <c r="BJ69" i="10"/>
  <c r="BN118" i="10"/>
  <c r="BL55" i="10"/>
  <c r="AL3" i="10"/>
  <c r="BO3" i="10"/>
  <c r="AZ54" i="10"/>
  <c r="BM55" i="10"/>
  <c r="AH58" i="10"/>
  <c r="BH58" i="10"/>
  <c r="T61" i="10"/>
  <c r="U61" i="10" s="1"/>
  <c r="AG61" i="10" s="1"/>
  <c r="AY62" i="10"/>
  <c r="BI66" i="10"/>
  <c r="AS67" i="10"/>
  <c r="BB68" i="10"/>
  <c r="AI69" i="10"/>
  <c r="BK69" i="10"/>
  <c r="AS70" i="10"/>
  <c r="BG71" i="10"/>
  <c r="AW72" i="10"/>
  <c r="AN74" i="10"/>
  <c r="BQ74" i="10"/>
  <c r="AS78" i="10"/>
  <c r="AA116" i="10"/>
  <c r="AY101" i="10"/>
  <c r="AJ118" i="10"/>
  <c r="AZ118" i="10"/>
  <c r="BP118" i="10"/>
  <c r="BQ118" i="10"/>
  <c r="AM55" i="10"/>
  <c r="AN55" i="10"/>
  <c r="AK58" i="10"/>
  <c r="BO58" i="10"/>
  <c r="AI68" i="10"/>
  <c r="BH68" i="10"/>
  <c r="AO69" i="10"/>
  <c r="BP69" i="10"/>
  <c r="AG83" i="10"/>
  <c r="AP90" i="10"/>
  <c r="AO118" i="10"/>
  <c r="BE118" i="10"/>
  <c r="AZ39" i="10"/>
  <c r="BG54" i="10"/>
  <c r="AO55" i="10"/>
  <c r="AM58" i="10"/>
  <c r="BP58" i="10"/>
  <c r="P64" i="10"/>
  <c r="AE64" i="10" s="1"/>
  <c r="BS66" i="10"/>
  <c r="AJ68" i="10"/>
  <c r="BI68" i="10"/>
  <c r="AQ69" i="10"/>
  <c r="BR69" i="10"/>
  <c r="AZ70" i="10"/>
  <c r="BR71" i="10"/>
  <c r="BF72" i="10"/>
  <c r="AS74" i="10"/>
  <c r="AF77" i="10"/>
  <c r="BP78" i="10"/>
  <c r="BC103" i="10"/>
  <c r="BS55" i="10"/>
  <c r="AI54" i="10"/>
  <c r="BH54" i="10"/>
  <c r="AP55" i="10"/>
  <c r="AP58" i="10"/>
  <c r="BQ58" i="10"/>
  <c r="AK68" i="10"/>
  <c r="BJ68" i="10"/>
  <c r="AR69" i="10"/>
  <c r="BB70" i="10"/>
  <c r="BS71" i="10"/>
  <c r="BL72" i="10"/>
  <c r="AW74" i="10"/>
  <c r="AH77" i="10"/>
  <c r="BQ78" i="10"/>
  <c r="AF84" i="10"/>
  <c r="AN103" i="10"/>
  <c r="AN39" i="10" s="1"/>
  <c r="BJ103" i="10"/>
  <c r="BJ39" i="10" s="1"/>
  <c r="AI101" i="10"/>
  <c r="BD118" i="10"/>
  <c r="AV3" i="10"/>
  <c r="AJ54" i="10"/>
  <c r="BK54" i="10"/>
  <c r="AU55" i="10"/>
  <c r="AR58" i="10"/>
  <c r="BS58" i="10"/>
  <c r="H63" i="10"/>
  <c r="L63" i="10" s="1"/>
  <c r="AN64" i="10"/>
  <c r="AI66" i="10"/>
  <c r="AM68" i="10"/>
  <c r="BK68" i="10"/>
  <c r="AS69" i="10"/>
  <c r="BD70" i="10"/>
  <c r="AI71" i="10"/>
  <c r="BM72" i="10"/>
  <c r="AX74" i="10"/>
  <c r="BR78" i="10"/>
  <c r="AF82" i="10"/>
  <c r="AG84" i="10"/>
  <c r="O103" i="10"/>
  <c r="AA115" i="10"/>
  <c r="P81" i="10"/>
  <c r="AE81" i="10" s="1"/>
  <c r="BA3" i="10"/>
  <c r="AX52" i="10"/>
  <c r="P53" i="10"/>
  <c r="AE53" i="10" s="1"/>
  <c r="BE53" i="10"/>
  <c r="AM54" i="10"/>
  <c r="BM54" i="10"/>
  <c r="AV55" i="10"/>
  <c r="BK56" i="10"/>
  <c r="BI57" i="10"/>
  <c r="AS58" i="10"/>
  <c r="Y63" i="10"/>
  <c r="BB63" i="10" s="1"/>
  <c r="AO64" i="10"/>
  <c r="AK66" i="10"/>
  <c r="BE67" i="10"/>
  <c r="AO68" i="10"/>
  <c r="BM68" i="10"/>
  <c r="AT69" i="10"/>
  <c r="BF70" i="10"/>
  <c r="AK71" i="10"/>
  <c r="BN72" i="10"/>
  <c r="AZ74" i="10"/>
  <c r="AN81" i="10"/>
  <c r="AG82" i="10"/>
  <c r="AQ83" i="10"/>
  <c r="AN84" i="10"/>
  <c r="AO54" i="10"/>
  <c r="BN54" i="10"/>
  <c r="AW55" i="10"/>
  <c r="AU58" i="10"/>
  <c r="BC64" i="10"/>
  <c r="AL66" i="10"/>
  <c r="AQ68" i="10"/>
  <c r="BP68" i="10"/>
  <c r="AW69" i="10"/>
  <c r="BG70" i="10"/>
  <c r="BP72" i="10"/>
  <c r="BA74" i="10"/>
  <c r="BN55" i="10"/>
  <c r="BC3" i="10"/>
  <c r="BG53" i="10"/>
  <c r="AP54" i="10"/>
  <c r="BO54" i="10"/>
  <c r="AX55" i="10"/>
  <c r="AG56" i="10"/>
  <c r="BM57" i="10"/>
  <c r="AW58" i="10"/>
  <c r="BL64" i="10"/>
  <c r="AS66" i="10"/>
  <c r="BK67" i="10"/>
  <c r="AR68" i="10"/>
  <c r="BR68" i="10"/>
  <c r="AZ69" i="10"/>
  <c r="BH70" i="10"/>
  <c r="AN71" i="10"/>
  <c r="AJ72" i="10"/>
  <c r="BB74" i="10"/>
  <c r="AG75" i="10"/>
  <c r="AG80" i="10"/>
  <c r="AQ81" i="10"/>
  <c r="AY82" i="10"/>
  <c r="BO84" i="10"/>
  <c r="AX103" i="10"/>
  <c r="AX39" i="10" s="1"/>
  <c r="AR118" i="10"/>
  <c r="BH118" i="10"/>
  <c r="AI53" i="10"/>
  <c r="BH53" i="10"/>
  <c r="AQ54" i="10"/>
  <c r="BP54" i="10"/>
  <c r="BC55" i="10"/>
  <c r="AX58" i="10"/>
  <c r="BM64" i="10"/>
  <c r="AT66" i="10"/>
  <c r="AS68" i="10"/>
  <c r="BS68" i="10"/>
  <c r="BA69" i="10"/>
  <c r="AI70" i="10"/>
  <c r="BF74" i="10"/>
  <c r="BD81" i="10"/>
  <c r="AQ103" i="10"/>
  <c r="AQ39" i="10" s="1"/>
  <c r="AS118" i="10"/>
  <c r="BI118" i="10"/>
  <c r="BE68" i="10"/>
  <c r="BD55" i="10"/>
  <c r="BB69" i="10"/>
  <c r="BH74" i="10"/>
  <c r="BP103" i="10"/>
  <c r="BP39" i="10" s="1"/>
  <c r="AC118" i="10"/>
  <c r="AT118" i="10"/>
  <c r="BJ118" i="10"/>
  <c r="AG118" i="10"/>
  <c r="AW118" i="10"/>
  <c r="BM118" i="10"/>
  <c r="AM14" i="10"/>
  <c r="AE29" i="10"/>
  <c r="P52" i="10"/>
  <c r="AG62" i="10"/>
  <c r="AH62" i="10"/>
  <c r="AF62" i="10"/>
  <c r="AF52" i="10"/>
  <c r="AG52" i="10"/>
  <c r="AH52" i="10"/>
  <c r="BM3" i="10"/>
  <c r="BE3" i="10"/>
  <c r="AW3" i="10"/>
  <c r="AO3" i="10"/>
  <c r="AG3" i="10"/>
  <c r="AN3" i="10"/>
  <c r="AX3" i="10"/>
  <c r="BG3" i="10"/>
  <c r="BP3" i="10"/>
  <c r="AF53" i="10"/>
  <c r="AH53" i="10"/>
  <c r="AG53" i="10"/>
  <c r="AF3" i="10"/>
  <c r="AP3" i="10"/>
  <c r="AY3" i="10"/>
  <c r="BH3" i="10"/>
  <c r="BQ3" i="10"/>
  <c r="AH3" i="10"/>
  <c r="AQ3" i="10"/>
  <c r="AZ3" i="10"/>
  <c r="BI3" i="10"/>
  <c r="BR3" i="10"/>
  <c r="AH65" i="10"/>
  <c r="AG65" i="10"/>
  <c r="AH68" i="10"/>
  <c r="AG68" i="10"/>
  <c r="AF68" i="10"/>
  <c r="BO75" i="10"/>
  <c r="BG75" i="10"/>
  <c r="AY75" i="10"/>
  <c r="AQ75" i="10"/>
  <c r="AI75" i="10"/>
  <c r="BL75" i="10"/>
  <c r="BC75" i="10"/>
  <c r="AT75" i="10"/>
  <c r="AK75" i="10"/>
  <c r="BK75" i="10"/>
  <c r="BB75" i="10"/>
  <c r="AS75" i="10"/>
  <c r="AJ75" i="10"/>
  <c r="BS75" i="10"/>
  <c r="BJ75" i="10"/>
  <c r="BA75" i="10"/>
  <c r="AR75" i="10"/>
  <c r="BP75" i="10"/>
  <c r="AZ75" i="10"/>
  <c r="AM75" i="10"/>
  <c r="BM75" i="10"/>
  <c r="AW75" i="10"/>
  <c r="BI75" i="10"/>
  <c r="AV75" i="10"/>
  <c r="BD75" i="10"/>
  <c r="AX75" i="10"/>
  <c r="BR75" i="10"/>
  <c r="AU75" i="10"/>
  <c r="BQ75" i="10"/>
  <c r="AP75" i="10"/>
  <c r="AP22" i="10" s="1"/>
  <c r="AN75" i="10"/>
  <c r="AL75" i="10"/>
  <c r="BN75" i="10"/>
  <c r="BE75" i="10"/>
  <c r="AF57" i="10"/>
  <c r="AH57" i="10"/>
  <c r="AH59" i="10"/>
  <c r="AG59" i="10"/>
  <c r="AF59" i="10"/>
  <c r="AF65" i="10"/>
  <c r="AO75" i="10"/>
  <c r="L28" i="10"/>
  <c r="AF54" i="10"/>
  <c r="AH54" i="10"/>
  <c r="BF75" i="10"/>
  <c r="AG57" i="10"/>
  <c r="BR64" i="10"/>
  <c r="BJ64" i="10"/>
  <c r="BB64" i="10"/>
  <c r="AT64" i="10"/>
  <c r="AL64" i="10"/>
  <c r="BP64" i="10"/>
  <c r="BH64" i="10"/>
  <c r="AZ64" i="10"/>
  <c r="AR64" i="10"/>
  <c r="AJ64" i="10"/>
  <c r="BO64" i="10"/>
  <c r="BG64" i="10"/>
  <c r="AY64" i="10"/>
  <c r="AQ64" i="10"/>
  <c r="AI64" i="10"/>
  <c r="BK64" i="10"/>
  <c r="AW64" i="10"/>
  <c r="AK64" i="10"/>
  <c r="BI64" i="10"/>
  <c r="AV64" i="10"/>
  <c r="BF64" i="10"/>
  <c r="AU64" i="10"/>
  <c r="BS64" i="10"/>
  <c r="BE64" i="10"/>
  <c r="AS64" i="10"/>
  <c r="BA64" i="10"/>
  <c r="AX64" i="10"/>
  <c r="BQ64" i="10"/>
  <c r="AP64" i="10"/>
  <c r="BD64" i="10"/>
  <c r="BH75" i="10"/>
  <c r="AG54" i="10"/>
  <c r="AM64" i="10"/>
  <c r="AV39" i="10"/>
  <c r="O39" i="10"/>
  <c r="BC39" i="10"/>
  <c r="X55" i="10"/>
  <c r="U55" i="10"/>
  <c r="P56" i="10"/>
  <c r="AE56" i="10" s="1"/>
  <c r="P66" i="10"/>
  <c r="AE66" i="10" s="1"/>
  <c r="T66" i="10"/>
  <c r="U66" i="10" s="1"/>
  <c r="L72" i="10"/>
  <c r="O72" i="10"/>
  <c r="AH79" i="10"/>
  <c r="AG79" i="10"/>
  <c r="AF79" i="10"/>
  <c r="AC39" i="10"/>
  <c r="BB39" i="10"/>
  <c r="BM62" i="10"/>
  <c r="BE62" i="10"/>
  <c r="AW62" i="10"/>
  <c r="AO62" i="10"/>
  <c r="BS62" i="10"/>
  <c r="BK62" i="10"/>
  <c r="BC62" i="10"/>
  <c r="AU62" i="10"/>
  <c r="AM62" i="10"/>
  <c r="BR62" i="10"/>
  <c r="BJ62" i="10"/>
  <c r="BB62" i="10"/>
  <c r="AT62" i="10"/>
  <c r="AL62" i="10"/>
  <c r="BH62" i="10"/>
  <c r="AV62" i="10"/>
  <c r="BG62" i="10"/>
  <c r="AS62" i="10"/>
  <c r="BQ62" i="10"/>
  <c r="BF62" i="10"/>
  <c r="AR62" i="10"/>
  <c r="BP62" i="10"/>
  <c r="BD62" i="10"/>
  <c r="AQ62" i="10"/>
  <c r="BA62" i="10"/>
  <c r="BS79" i="10"/>
  <c r="BK79" i="10"/>
  <c r="BO79" i="10"/>
  <c r="BF79" i="10"/>
  <c r="AX79" i="10"/>
  <c r="AP79" i="10"/>
  <c r="BN79" i="10"/>
  <c r="BE79" i="10"/>
  <c r="AW79" i="10"/>
  <c r="AO79" i="10"/>
  <c r="BM79" i="10"/>
  <c r="BD79" i="10"/>
  <c r="AV79" i="10"/>
  <c r="AN79" i="10"/>
  <c r="BJ79" i="10"/>
  <c r="AY79" i="10"/>
  <c r="AK79" i="10"/>
  <c r="BI79" i="10"/>
  <c r="AU79" i="10"/>
  <c r="AJ79" i="10"/>
  <c r="BH79" i="10"/>
  <c r="AT79" i="10"/>
  <c r="AI79" i="10"/>
  <c r="BL79" i="10"/>
  <c r="AZ79" i="10"/>
  <c r="AL79" i="10"/>
  <c r="BR79" i="10"/>
  <c r="AR79" i="10"/>
  <c r="BP79" i="10"/>
  <c r="AM79" i="10"/>
  <c r="BG79" i="10"/>
  <c r="AS79" i="10"/>
  <c r="AQ79" i="10"/>
  <c r="BQ79" i="10"/>
  <c r="AD39" i="10"/>
  <c r="BL57" i="10"/>
  <c r="BD57" i="10"/>
  <c r="AV57" i="10"/>
  <c r="AN57" i="10"/>
  <c r="BR57" i="10"/>
  <c r="BJ57" i="10"/>
  <c r="BB57" i="10"/>
  <c r="AT57" i="10"/>
  <c r="AL57" i="10"/>
  <c r="BS57" i="10"/>
  <c r="BH57" i="10"/>
  <c r="AX57" i="10"/>
  <c r="AM57" i="10"/>
  <c r="BQ57" i="10"/>
  <c r="BG57" i="10"/>
  <c r="AW57" i="10"/>
  <c r="AK57" i="10"/>
  <c r="BP57" i="10"/>
  <c r="BF57" i="10"/>
  <c r="AU57" i="10"/>
  <c r="AJ57" i="10"/>
  <c r="BO57" i="10"/>
  <c r="BE57" i="10"/>
  <c r="AS57" i="10"/>
  <c r="AI57" i="10"/>
  <c r="AY57" i="10"/>
  <c r="AJ62" i="10"/>
  <c r="BI62" i="10"/>
  <c r="AG39" i="10"/>
  <c r="AZ57" i="10"/>
  <c r="AK62" i="10"/>
  <c r="BL62" i="10"/>
  <c r="AG67" i="10"/>
  <c r="AF67" i="10"/>
  <c r="AH69" i="10"/>
  <c r="AF69" i="10"/>
  <c r="AG69" i="10"/>
  <c r="BA79" i="10"/>
  <c r="AK52" i="10"/>
  <c r="AS52" i="10"/>
  <c r="BA52" i="10"/>
  <c r="BI52" i="10"/>
  <c r="BQ52" i="10"/>
  <c r="AK53" i="10"/>
  <c r="AS53" i="10"/>
  <c r="BA53" i="10"/>
  <c r="BI53" i="10"/>
  <c r="BQ53" i="10"/>
  <c r="AK54" i="10"/>
  <c r="AS54" i="10"/>
  <c r="BA54" i="10"/>
  <c r="BI54" i="10"/>
  <c r="BQ54" i="10"/>
  <c r="AI55" i="10"/>
  <c r="AQ55" i="10"/>
  <c r="AY55" i="10"/>
  <c r="BG55" i="10"/>
  <c r="BO55" i="10"/>
  <c r="AI56" i="10"/>
  <c r="AQ56" i="10"/>
  <c r="AY56" i="10"/>
  <c r="BG56" i="10"/>
  <c r="BO56" i="10"/>
  <c r="BG63" i="10"/>
  <c r="AY63" i="10"/>
  <c r="BO73" i="10"/>
  <c r="BG73" i="10"/>
  <c r="AY73" i="10"/>
  <c r="AQ73" i="10"/>
  <c r="AI73" i="10"/>
  <c r="BQ73" i="10"/>
  <c r="BH73" i="10"/>
  <c r="AX73" i="10"/>
  <c r="AO73" i="10"/>
  <c r="BP73" i="10"/>
  <c r="BF73" i="10"/>
  <c r="AW73" i="10"/>
  <c r="AN73" i="10"/>
  <c r="BN73" i="10"/>
  <c r="BE73" i="10"/>
  <c r="AV73" i="10"/>
  <c r="AM73" i="10"/>
  <c r="BD73" i="10"/>
  <c r="AR73" i="10"/>
  <c r="BR73" i="10"/>
  <c r="BB73" i="10"/>
  <c r="AL73" i="10"/>
  <c r="BM73" i="10"/>
  <c r="BA73" i="10"/>
  <c r="AK73" i="10"/>
  <c r="AZ73" i="10"/>
  <c r="AE77" i="10"/>
  <c r="AL52" i="10"/>
  <c r="AT52" i="10"/>
  <c r="BB52" i="10"/>
  <c r="BJ52" i="10"/>
  <c r="BR52" i="10"/>
  <c r="AL53" i="10"/>
  <c r="AT53" i="10"/>
  <c r="BB53" i="10"/>
  <c r="BJ53" i="10"/>
  <c r="BR53" i="10"/>
  <c r="AL54" i="10"/>
  <c r="AT54" i="10"/>
  <c r="BB54" i="10"/>
  <c r="BJ54" i="10"/>
  <c r="BR54" i="10"/>
  <c r="AJ55" i="10"/>
  <c r="AR55" i="10"/>
  <c r="AZ55" i="10"/>
  <c r="BH55" i="10"/>
  <c r="BP55" i="10"/>
  <c r="AJ56" i="10"/>
  <c r="AR56" i="10"/>
  <c r="AZ56" i="10"/>
  <c r="BH56" i="10"/>
  <c r="BP56" i="10"/>
  <c r="BL58" i="10"/>
  <c r="BD58" i="10"/>
  <c r="AV58" i="10"/>
  <c r="AN58" i="10"/>
  <c r="BR58" i="10"/>
  <c r="BJ58" i="10"/>
  <c r="BB58" i="10"/>
  <c r="AT58" i="10"/>
  <c r="AL58" i="10"/>
  <c r="AO58" i="10"/>
  <c r="AY58" i="10"/>
  <c r="BI58" i="10"/>
  <c r="AM66" i="10"/>
  <c r="BA66" i="10"/>
  <c r="BC73" i="10"/>
  <c r="AK55" i="10"/>
  <c r="AS55" i="10"/>
  <c r="BA55" i="10"/>
  <c r="BI55" i="10"/>
  <c r="BQ55" i="10"/>
  <c r="AK56" i="10"/>
  <c r="AS56" i="10"/>
  <c r="BA56" i="10"/>
  <c r="BI56" i="10"/>
  <c r="BQ56" i="10"/>
  <c r="P62" i="10"/>
  <c r="AE62" i="10" s="1"/>
  <c r="F86" i="10"/>
  <c r="O65" i="10"/>
  <c r="Y65" i="10" s="1"/>
  <c r="AJ65" i="10" s="1"/>
  <c r="BP66" i="10"/>
  <c r="BH66" i="10"/>
  <c r="AZ66" i="10"/>
  <c r="AR66" i="10"/>
  <c r="AJ66" i="10"/>
  <c r="BN66" i="10"/>
  <c r="BF66" i="10"/>
  <c r="AX66" i="10"/>
  <c r="AP66" i="10"/>
  <c r="BM66" i="10"/>
  <c r="BE66" i="10"/>
  <c r="AW66" i="10"/>
  <c r="AO66" i="10"/>
  <c r="AN66" i="10"/>
  <c r="BB66" i="10"/>
  <c r="BO66" i="10"/>
  <c r="O70" i="10"/>
  <c r="P70" i="10" s="1"/>
  <c r="AE70" i="10" s="1"/>
  <c r="AG71" i="10"/>
  <c r="AH71" i="10"/>
  <c r="AF71" i="10"/>
  <c r="BI73" i="10"/>
  <c r="AN52" i="10"/>
  <c r="AV52" i="10"/>
  <c r="BD52" i="10"/>
  <c r="BL52" i="10"/>
  <c r="AN53" i="10"/>
  <c r="AV53" i="10"/>
  <c r="BD53" i="10"/>
  <c r="BV53" i="10"/>
  <c r="AN54" i="10"/>
  <c r="AV54" i="10"/>
  <c r="BD54" i="10"/>
  <c r="AL55" i="10"/>
  <c r="AT55" i="10"/>
  <c r="BB55" i="10"/>
  <c r="BJ55" i="10"/>
  <c r="AL56" i="10"/>
  <c r="AT56" i="10"/>
  <c r="BB56" i="10"/>
  <c r="BJ56" i="10"/>
  <c r="AG58" i="10"/>
  <c r="AQ58" i="10"/>
  <c r="BA58" i="10"/>
  <c r="BM58" i="10"/>
  <c r="T64" i="10"/>
  <c r="U64" i="10" s="1"/>
  <c r="L65" i="10"/>
  <c r="AQ66" i="10"/>
  <c r="BC66" i="10"/>
  <c r="BQ66" i="10"/>
  <c r="BO67" i="10"/>
  <c r="BG67" i="10"/>
  <c r="AY67" i="10"/>
  <c r="AQ67" i="10"/>
  <c r="BS67" i="10"/>
  <c r="BJ67" i="10"/>
  <c r="BA67" i="10"/>
  <c r="AR67" i="10"/>
  <c r="AI67" i="10"/>
  <c r="BQ67" i="10"/>
  <c r="BH67" i="10"/>
  <c r="AX67" i="10"/>
  <c r="AO67" i="10"/>
  <c r="BP67" i="10"/>
  <c r="BF67" i="10"/>
  <c r="AW67" i="10"/>
  <c r="AN67" i="10"/>
  <c r="AP67" i="10"/>
  <c r="BD67" i="10"/>
  <c r="BP71" i="10"/>
  <c r="BM71" i="10"/>
  <c r="BE71" i="10"/>
  <c r="AW71" i="10"/>
  <c r="AO71" i="10"/>
  <c r="BK71" i="10"/>
  <c r="BC71" i="10"/>
  <c r="AU71" i="10"/>
  <c r="AM71" i="10"/>
  <c r="BQ71" i="10"/>
  <c r="BF71" i="10"/>
  <c r="AT71" i="10"/>
  <c r="AJ71" i="10"/>
  <c r="BN71" i="10"/>
  <c r="BB71" i="10"/>
  <c r="AR71" i="10"/>
  <c r="BL71" i="10"/>
  <c r="BA71" i="10"/>
  <c r="AQ71" i="10"/>
  <c r="AV71" i="10"/>
  <c r="BJ71" i="10"/>
  <c r="AJ73" i="10"/>
  <c r="BJ73" i="10"/>
  <c r="BP82" i="10"/>
  <c r="BH82" i="10"/>
  <c r="AZ82" i="10"/>
  <c r="AR82" i="10"/>
  <c r="AJ82" i="10"/>
  <c r="BN82" i="10"/>
  <c r="BF82" i="10"/>
  <c r="AX82" i="10"/>
  <c r="AP82" i="10"/>
  <c r="BR82" i="10"/>
  <c r="BJ82" i="10"/>
  <c r="BB82" i="10"/>
  <c r="AT82" i="10"/>
  <c r="AL82" i="10"/>
  <c r="BI82" i="10"/>
  <c r="AV82" i="10"/>
  <c r="AI82" i="10"/>
  <c r="BG82" i="10"/>
  <c r="AU82" i="10"/>
  <c r="BS82" i="10"/>
  <c r="BE82" i="10"/>
  <c r="AS82" i="10"/>
  <c r="BK82" i="10"/>
  <c r="AW82" i="10"/>
  <c r="AK82" i="10"/>
  <c r="BM82" i="10"/>
  <c r="AN82" i="10"/>
  <c r="BL82" i="10"/>
  <c r="AM82" i="10"/>
  <c r="BD82" i="10"/>
  <c r="BO82" i="10"/>
  <c r="AO82" i="10"/>
  <c r="BC82" i="10"/>
  <c r="BA82" i="10"/>
  <c r="BP84" i="10"/>
  <c r="BH84" i="10"/>
  <c r="AZ84" i="10"/>
  <c r="AR84" i="10"/>
  <c r="AJ84" i="10"/>
  <c r="BN84" i="10"/>
  <c r="BF84" i="10"/>
  <c r="AX84" i="10"/>
  <c r="AP84" i="10"/>
  <c r="BR84" i="10"/>
  <c r="BJ84" i="10"/>
  <c r="BB84" i="10"/>
  <c r="AT84" i="10"/>
  <c r="AL84" i="10"/>
  <c r="BI84" i="10"/>
  <c r="AV84" i="10"/>
  <c r="AI84" i="10"/>
  <c r="BG84" i="10"/>
  <c r="AU84" i="10"/>
  <c r="BS84" i="10"/>
  <c r="BE84" i="10"/>
  <c r="AS84" i="10"/>
  <c r="BK84" i="10"/>
  <c r="AW84" i="10"/>
  <c r="AK84" i="10"/>
  <c r="BD84" i="10"/>
  <c r="BC84" i="10"/>
  <c r="BA84" i="10"/>
  <c r="BL84" i="10"/>
  <c r="AM84" i="10"/>
  <c r="BM84" i="10"/>
  <c r="AQ84" i="10"/>
  <c r="AO84" i="10"/>
  <c r="BO90" i="10"/>
  <c r="BG90" i="10"/>
  <c r="AY90" i="10"/>
  <c r="AQ90" i="10"/>
  <c r="AI90" i="10"/>
  <c r="BE90" i="10"/>
  <c r="AW90" i="10"/>
  <c r="AO90" i="10"/>
  <c r="BQ90" i="10"/>
  <c r="BI90" i="10"/>
  <c r="BA90" i="10"/>
  <c r="AK90" i="10"/>
  <c r="BH90" i="10"/>
  <c r="AU90" i="10"/>
  <c r="BS90" i="10"/>
  <c r="BF90" i="10"/>
  <c r="AT90" i="10"/>
  <c r="BR90" i="10"/>
  <c r="BD90" i="10"/>
  <c r="BJ90" i="10"/>
  <c r="AV90" i="10"/>
  <c r="AJ90" i="10"/>
  <c r="BL90" i="10"/>
  <c r="AM90" i="10"/>
  <c r="BK90" i="10"/>
  <c r="AL90" i="10"/>
  <c r="BN90" i="10"/>
  <c r="AN90" i="10"/>
  <c r="BG103" i="10"/>
  <c r="BG39" i="10" s="1"/>
  <c r="AH72" i="10"/>
  <c r="AG72" i="10"/>
  <c r="AF72" i="10"/>
  <c r="BB90" i="10"/>
  <c r="BN68" i="10"/>
  <c r="BF68" i="10"/>
  <c r="AX68" i="10"/>
  <c r="AP68" i="10"/>
  <c r="BL68" i="10"/>
  <c r="AL68" i="10"/>
  <c r="AU68" i="10"/>
  <c r="BD68" i="10"/>
  <c r="BO68" i="10"/>
  <c r="AK69" i="10"/>
  <c r="AU69" i="10"/>
  <c r="BG69" i="10"/>
  <c r="BM70" i="10"/>
  <c r="BE70" i="10"/>
  <c r="AW70" i="10"/>
  <c r="AO70" i="10"/>
  <c r="BS70" i="10"/>
  <c r="BK70" i="10"/>
  <c r="BC70" i="10"/>
  <c r="AU70" i="10"/>
  <c r="AM70" i="10"/>
  <c r="AN70" i="10"/>
  <c r="AY70" i="10"/>
  <c r="BI70" i="10"/>
  <c r="BO72" i="10"/>
  <c r="BG72" i="10"/>
  <c r="AY72" i="10"/>
  <c r="AQ72" i="10"/>
  <c r="AI72" i="10"/>
  <c r="BS72" i="10"/>
  <c r="BJ72" i="10"/>
  <c r="BA72" i="10"/>
  <c r="AR72" i="10"/>
  <c r="BR72" i="10"/>
  <c r="BI72" i="10"/>
  <c r="AZ72" i="10"/>
  <c r="AP72" i="10"/>
  <c r="BQ72" i="10"/>
  <c r="BH72" i="10"/>
  <c r="AX72" i="10"/>
  <c r="AO72" i="10"/>
  <c r="AS72" i="10"/>
  <c r="BE72" i="10"/>
  <c r="P73" i="10"/>
  <c r="AE73" i="10" s="1"/>
  <c r="AH76" i="10"/>
  <c r="AG76" i="10"/>
  <c r="AF76" i="10"/>
  <c r="BN78" i="10"/>
  <c r="BF78" i="10"/>
  <c r="AX78" i="10"/>
  <c r="AP78" i="10"/>
  <c r="BM78" i="10"/>
  <c r="BE78" i="10"/>
  <c r="AW78" i="10"/>
  <c r="AO78" i="10"/>
  <c r="BL78" i="10"/>
  <c r="BD78" i="10"/>
  <c r="AV78" i="10"/>
  <c r="AN78" i="10"/>
  <c r="BK78" i="10"/>
  <c r="AZ78" i="10"/>
  <c r="AL78" i="10"/>
  <c r="BJ78" i="10"/>
  <c r="AY78" i="10"/>
  <c r="AK78" i="10"/>
  <c r="BI78" i="10"/>
  <c r="AU78" i="10"/>
  <c r="AJ78" i="10"/>
  <c r="BO78" i="10"/>
  <c r="BA78" i="10"/>
  <c r="AM78" i="10"/>
  <c r="BB78" i="10"/>
  <c r="AO102" i="10"/>
  <c r="AO103" i="10" s="1"/>
  <c r="AO39" i="10" s="1"/>
  <c r="BS102" i="10"/>
  <c r="AM102" i="10"/>
  <c r="AY102" i="10"/>
  <c r="AI102" i="10"/>
  <c r="BD102" i="10"/>
  <c r="AK102" i="10"/>
  <c r="AK103" i="10" s="1"/>
  <c r="AK39" i="10" s="1"/>
  <c r="AT102" i="10"/>
  <c r="AJ102" i="10"/>
  <c r="BN102" i="10"/>
  <c r="BI102" i="10"/>
  <c r="AN68" i="10"/>
  <c r="AW68" i="10"/>
  <c r="BG68" i="10"/>
  <c r="BQ68" i="10"/>
  <c r="BN69" i="10"/>
  <c r="BF69" i="10"/>
  <c r="AX69" i="10"/>
  <c r="AP69" i="10"/>
  <c r="BL69" i="10"/>
  <c r="BD69" i="10"/>
  <c r="AV69" i="10"/>
  <c r="AN69" i="10"/>
  <c r="AM69" i="10"/>
  <c r="AY69" i="10"/>
  <c r="BI69" i="10"/>
  <c r="BS69" i="10"/>
  <c r="AF70" i="10"/>
  <c r="AQ70" i="10"/>
  <c r="BA70" i="10"/>
  <c r="BL70" i="10"/>
  <c r="AU72" i="10"/>
  <c r="BK72" i="10"/>
  <c r="BG78" i="10"/>
  <c r="AH78" i="10"/>
  <c r="AG78" i="10"/>
  <c r="AF78" i="10"/>
  <c r="AW103" i="10"/>
  <c r="AW39" i="10" s="1"/>
  <c r="AK74" i="10"/>
  <c r="AT74" i="10"/>
  <c r="BC74" i="10"/>
  <c r="P75" i="10"/>
  <c r="AE75" i="10" s="1"/>
  <c r="AH81" i="10"/>
  <c r="AG81" i="10"/>
  <c r="AF81" i="10"/>
  <c r="BD101" i="10"/>
  <c r="BD103" i="10" s="1"/>
  <c r="BD39" i="10" s="1"/>
  <c r="AT101" i="10"/>
  <c r="AT103" i="10" s="1"/>
  <c r="AT39" i="10" s="1"/>
  <c r="BN101" i="10"/>
  <c r="AK101" i="10"/>
  <c r="BS101" i="10"/>
  <c r="AJ101" i="10"/>
  <c r="Y103" i="10"/>
  <c r="Y39" i="10" s="1"/>
  <c r="AM101" i="10"/>
  <c r="BI101" i="10"/>
  <c r="BO74" i="10"/>
  <c r="BG74" i="10"/>
  <c r="AY74" i="10"/>
  <c r="AQ74" i="10"/>
  <c r="AI74" i="10"/>
  <c r="AL74" i="10"/>
  <c r="AU74" i="10"/>
  <c r="BD74" i="10"/>
  <c r="BM74" i="10"/>
  <c r="BP81" i="10"/>
  <c r="BH81" i="10"/>
  <c r="AZ81" i="10"/>
  <c r="AR81" i="10"/>
  <c r="AJ81" i="10"/>
  <c r="BN81" i="10"/>
  <c r="BF81" i="10"/>
  <c r="AX81" i="10"/>
  <c r="AP81" i="10"/>
  <c r="BR81" i="10"/>
  <c r="BJ81" i="10"/>
  <c r="BB81" i="10"/>
  <c r="AT81" i="10"/>
  <c r="AL81" i="10"/>
  <c r="BI81" i="10"/>
  <c r="AV81" i="10"/>
  <c r="AI81" i="10"/>
  <c r="BG81" i="10"/>
  <c r="AU81" i="10"/>
  <c r="BS81" i="10"/>
  <c r="BE81" i="10"/>
  <c r="AS81" i="10"/>
  <c r="BK81" i="10"/>
  <c r="AW81" i="10"/>
  <c r="BA81" i="10"/>
  <c r="AA99" i="10"/>
  <c r="BH103" i="10"/>
  <c r="BH39" i="10" s="1"/>
  <c r="AM74" i="10"/>
  <c r="AV74" i="10"/>
  <c r="BE74" i="10"/>
  <c r="BN74" i="10"/>
  <c r="P76" i="10"/>
  <c r="BC81" i="10"/>
  <c r="BP83" i="10"/>
  <c r="BH83" i="10"/>
  <c r="AZ83" i="10"/>
  <c r="AR83" i="10"/>
  <c r="AJ83" i="10"/>
  <c r="BN83" i="10"/>
  <c r="BF83" i="10"/>
  <c r="AX83" i="10"/>
  <c r="AP83" i="10"/>
  <c r="BR83" i="10"/>
  <c r="BJ83" i="10"/>
  <c r="BB83" i="10"/>
  <c r="AT83" i="10"/>
  <c r="AL83" i="10"/>
  <c r="BI83" i="10"/>
  <c r="AV83" i="10"/>
  <c r="AI83" i="10"/>
  <c r="BG83" i="10"/>
  <c r="AU83" i="10"/>
  <c r="BS83" i="10"/>
  <c r="BE83" i="10"/>
  <c r="AS83" i="10"/>
  <c r="BK83" i="10"/>
  <c r="AW83" i="10"/>
  <c r="AK83" i="10"/>
  <c r="AY83" i="10"/>
  <c r="P100" i="10"/>
  <c r="AE100" i="10" s="1"/>
  <c r="AA100" i="10" s="1"/>
  <c r="U90" i="10"/>
  <c r="O90" i="10"/>
  <c r="P90" i="10" s="1"/>
  <c r="AE90" i="10" s="1"/>
  <c r="AF101" i="10"/>
  <c r="AH101" i="10"/>
  <c r="AH103" i="10" s="1"/>
  <c r="AH39" i="10" s="1"/>
  <c r="L103" i="10"/>
  <c r="L39" i="10" s="1"/>
  <c r="AS103" i="10"/>
  <c r="AS39" i="10" s="1"/>
  <c r="BA103" i="10"/>
  <c r="BA39" i="10" s="1"/>
  <c r="BQ103" i="10"/>
  <c r="BQ39" i="10" s="1"/>
  <c r="U103" i="10"/>
  <c r="U39" i="10" s="1"/>
  <c r="AE118" i="10"/>
  <c r="AA114" i="10"/>
  <c r="P118" i="10"/>
  <c r="AX29" i="10" l="1"/>
  <c r="AA59" i="10"/>
  <c r="AF103" i="10"/>
  <c r="AF39" i="10" s="1"/>
  <c r="BC90" i="10"/>
  <c r="AS90" i="10"/>
  <c r="AX90" i="10"/>
  <c r="BP22" i="10"/>
  <c r="BI18" i="10"/>
  <c r="AY18" i="10"/>
  <c r="BJ12" i="10"/>
  <c r="AD35" i="10"/>
  <c r="BB22" i="10"/>
  <c r="O19" i="10"/>
  <c r="AL35" i="10"/>
  <c r="BS16" i="10"/>
  <c r="AY103" i="10"/>
  <c r="AY39" i="10" s="1"/>
  <c r="AF61" i="10"/>
  <c r="AI19" i="10"/>
  <c r="BG12" i="10"/>
  <c r="BB21" i="10"/>
  <c r="O63" i="10"/>
  <c r="T63" i="10" s="1"/>
  <c r="U63" i="10" s="1"/>
  <c r="AH63" i="10" s="1"/>
  <c r="AH61" i="10"/>
  <c r="AH13" i="10" s="1"/>
  <c r="H86" i="10"/>
  <c r="BS103" i="10"/>
  <c r="BS39" i="10" s="1"/>
  <c r="AX12" i="10"/>
  <c r="P39" i="10"/>
  <c r="BP27" i="10"/>
  <c r="BN103" i="10"/>
  <c r="BN39" i="10" s="1"/>
  <c r="BP90" i="10"/>
  <c r="AR90" i="10"/>
  <c r="BM90" i="10"/>
  <c r="X80" i="10"/>
  <c r="Y80" i="10" s="1"/>
  <c r="Y26" i="10" s="1"/>
  <c r="H23" i="10"/>
  <c r="T23" i="10" s="1"/>
  <c r="L22" i="10"/>
  <c r="BS12" i="10"/>
  <c r="AN27" i="10"/>
  <c r="AT29" i="10"/>
  <c r="BN16" i="10"/>
  <c r="BK21" i="10"/>
  <c r="AN29" i="10"/>
  <c r="AM19" i="10"/>
  <c r="AZ12" i="10"/>
  <c r="AU10" i="10"/>
  <c r="AO29" i="10"/>
  <c r="U16" i="10"/>
  <c r="AE21" i="10"/>
  <c r="AZ20" i="10"/>
  <c r="AV14" i="10"/>
  <c r="BE16" i="10"/>
  <c r="L30" i="10"/>
  <c r="AD33" i="10"/>
  <c r="AW29" i="10"/>
  <c r="F16" i="10"/>
  <c r="AY21" i="10"/>
  <c r="AE30" i="10"/>
  <c r="G33" i="10"/>
  <c r="AH11" i="10"/>
  <c r="BE29" i="10"/>
  <c r="H15" i="10"/>
  <c r="AK20" i="10"/>
  <c r="AI17" i="10"/>
  <c r="AT30" i="10"/>
  <c r="AM30" i="10"/>
  <c r="BP19" i="10"/>
  <c r="G11" i="10"/>
  <c r="AT13" i="10"/>
  <c r="F20" i="10"/>
  <c r="BF30" i="10"/>
  <c r="AF29" i="10"/>
  <c r="BF19" i="10"/>
  <c r="AI11" i="10"/>
  <c r="BL35" i="10"/>
  <c r="BB13" i="10"/>
  <c r="AH20" i="10"/>
  <c r="BE14" i="10"/>
  <c r="AN7" i="10"/>
  <c r="O29" i="10"/>
  <c r="BK25" i="10"/>
  <c r="BN13" i="10"/>
  <c r="BS20" i="10"/>
  <c r="BI22" i="10"/>
  <c r="H17" i="10"/>
  <c r="AU30" i="10"/>
  <c r="AS35" i="10"/>
  <c r="P65" i="10"/>
  <c r="AE65" i="10" s="1"/>
  <c r="AA65" i="10" s="1"/>
  <c r="AY15" i="10"/>
  <c r="AF60" i="10"/>
  <c r="BB11" i="10"/>
  <c r="BS35" i="10"/>
  <c r="L13" i="10"/>
  <c r="AJ20" i="10"/>
  <c r="AZ18" i="10"/>
  <c r="AN21" i="10"/>
  <c r="AA53" i="10"/>
  <c r="F27" i="10"/>
  <c r="AJ27" i="10"/>
  <c r="AA118" i="10"/>
  <c r="BI103" i="10"/>
  <c r="BI39" i="10" s="1"/>
  <c r="AG30" i="10"/>
  <c r="AA102" i="10"/>
  <c r="AA73" i="10"/>
  <c r="AA20" i="10" s="1"/>
  <c r="AR11" i="10"/>
  <c r="AH25" i="10"/>
  <c r="AY19" i="10"/>
  <c r="AO30" i="10"/>
  <c r="U20" i="10"/>
  <c r="AG60" i="10"/>
  <c r="AA60" i="10" s="1"/>
  <c r="AU35" i="10"/>
  <c r="AM13" i="10"/>
  <c r="AW19" i="10"/>
  <c r="BF14" i="10"/>
  <c r="BJ27" i="10"/>
  <c r="AJ17" i="10"/>
  <c r="AQ19" i="10"/>
  <c r="AF7" i="10"/>
  <c r="AR27" i="10"/>
  <c r="AJ103" i="10"/>
  <c r="AJ39" i="10" s="1"/>
  <c r="BP30" i="10"/>
  <c r="BP29" i="10"/>
  <c r="BJ19" i="10"/>
  <c r="AP18" i="10"/>
  <c r="BF35" i="10"/>
  <c r="AW13" i="10"/>
  <c r="BG18" i="10"/>
  <c r="BO63" i="10"/>
  <c r="BO15" i="10" s="1"/>
  <c r="AA81" i="10"/>
  <c r="AA27" i="10" s="1"/>
  <c r="BE63" i="10"/>
  <c r="BE15" i="10" s="1"/>
  <c r="BH63" i="10"/>
  <c r="BH15" i="10" s="1"/>
  <c r="G26" i="10"/>
  <c r="BE30" i="10"/>
  <c r="AO10" i="10"/>
  <c r="AP12" i="10"/>
  <c r="AG28" i="10"/>
  <c r="AM9" i="10"/>
  <c r="BL11" i="10"/>
  <c r="BH27" i="10"/>
  <c r="AC35" i="10"/>
  <c r="L29" i="10"/>
  <c r="P29" i="10" s="1"/>
  <c r="AF14" i="10"/>
  <c r="O16" i="10"/>
  <c r="F13" i="10"/>
  <c r="BO13" i="10"/>
  <c r="F22" i="10"/>
  <c r="BQ21" i="10"/>
  <c r="BH20" i="10"/>
  <c r="AU63" i="10"/>
  <c r="AX27" i="10"/>
  <c r="AO20" i="10"/>
  <c r="AO18" i="10"/>
  <c r="AS63" i="10"/>
  <c r="AS15" i="10" s="1"/>
  <c r="BQ63" i="10"/>
  <c r="BQ15" i="10" s="1"/>
  <c r="AQ20" i="10"/>
  <c r="BP63" i="10"/>
  <c r="BP15" i="10" s="1"/>
  <c r="O26" i="10"/>
  <c r="AR25" i="10"/>
  <c r="AG10" i="10"/>
  <c r="BI12" i="10"/>
  <c r="AQ28" i="10"/>
  <c r="AE9" i="10"/>
  <c r="AK11" i="10"/>
  <c r="BQ27" i="10"/>
  <c r="AO35" i="10"/>
  <c r="AQ29" i="10"/>
  <c r="Y14" i="10"/>
  <c r="AJ16" i="10"/>
  <c r="BM22" i="10"/>
  <c r="AP13" i="10"/>
  <c r="G21" i="10"/>
  <c r="BP20" i="10"/>
  <c r="AY12" i="10"/>
  <c r="AX22" i="10"/>
  <c r="AY20" i="10"/>
  <c r="AL63" i="10"/>
  <c r="AA69" i="10"/>
  <c r="AN11" i="10"/>
  <c r="G25" i="10"/>
  <c r="U10" i="10"/>
  <c r="BQ12" i="10"/>
  <c r="Y28" i="10"/>
  <c r="AS11" i="10"/>
  <c r="L27" i="10"/>
  <c r="BC35" i="10"/>
  <c r="BI29" i="10"/>
  <c r="AS14" i="10"/>
  <c r="AT16" i="10"/>
  <c r="H22" i="10"/>
  <c r="N22" i="10" s="1"/>
  <c r="AJ13" i="10"/>
  <c r="AK22" i="10"/>
  <c r="H21" i="10"/>
  <c r="K21" i="10" s="1"/>
  <c r="AG20" i="10"/>
  <c r="AH26" i="10"/>
  <c r="BC11" i="10"/>
  <c r="BO14" i="10"/>
  <c r="AQ18" i="10"/>
  <c r="BD63" i="10"/>
  <c r="BD15" i="10" s="1"/>
  <c r="AG12" i="10"/>
  <c r="AP63" i="10"/>
  <c r="BG20" i="10"/>
  <c r="AT63" i="10"/>
  <c r="AT15" i="10" s="1"/>
  <c r="BB25" i="10"/>
  <c r="O25" i="10"/>
  <c r="U9" i="10"/>
  <c r="BM10" i="10"/>
  <c r="AU28" i="10"/>
  <c r="BI27" i="10"/>
  <c r="H29" i="10"/>
  <c r="BN35" i="10"/>
  <c r="AM29" i="10"/>
  <c r="BI35" i="10"/>
  <c r="BA14" i="10"/>
  <c r="BC16" i="10"/>
  <c r="AG21" i="10"/>
  <c r="AR13" i="10"/>
  <c r="BE22" i="10"/>
  <c r="Y21" i="10"/>
  <c r="AP20" i="10"/>
  <c r="AZ63" i="10"/>
  <c r="AZ15" i="10" s="1"/>
  <c r="L35" i="10"/>
  <c r="P35" i="10" s="1"/>
  <c r="BC21" i="10"/>
  <c r="AL28" i="10"/>
  <c r="AR20" i="10"/>
  <c r="BD20" i="10"/>
  <c r="AN28" i="10"/>
  <c r="BA18" i="10"/>
  <c r="AS25" i="10"/>
  <c r="BO25" i="10"/>
  <c r="BI25" i="10"/>
  <c r="BE8" i="10"/>
  <c r="L10" i="10"/>
  <c r="BE28" i="10"/>
  <c r="AF13" i="10"/>
  <c r="BD18" i="10"/>
  <c r="BR27" i="10"/>
  <c r="BS18" i="10"/>
  <c r="AF35" i="10"/>
  <c r="AV29" i="10"/>
  <c r="AH29" i="10"/>
  <c r="AW21" i="10"/>
  <c r="BA16" i="10"/>
  <c r="BL13" i="10"/>
  <c r="AZ13" i="10"/>
  <c r="BN22" i="10"/>
  <c r="AL21" i="10"/>
  <c r="AL20" i="10"/>
  <c r="AV63" i="10"/>
  <c r="AV15" i="10" s="1"/>
  <c r="AN63" i="10"/>
  <c r="AN15" i="10" s="1"/>
  <c r="AM63" i="10"/>
  <c r="AM15" i="10" s="1"/>
  <c r="AK63" i="10"/>
  <c r="AK15" i="10" s="1"/>
  <c r="BM63" i="10"/>
  <c r="BM15" i="10" s="1"/>
  <c r="BK63" i="10"/>
  <c r="BI63" i="10"/>
  <c r="BI15" i="10" s="1"/>
  <c r="BA63" i="10"/>
  <c r="BA15" i="10" s="1"/>
  <c r="AX63" i="10"/>
  <c r="AX15" i="10" s="1"/>
  <c r="AW63" i="10"/>
  <c r="AW15" i="10" s="1"/>
  <c r="BL63" i="10"/>
  <c r="BL15" i="10" s="1"/>
  <c r="P72" i="10"/>
  <c r="AE72" i="10" s="1"/>
  <c r="AE19" i="10" s="1"/>
  <c r="BF63" i="10"/>
  <c r="BF15" i="10" s="1"/>
  <c r="AL22" i="10"/>
  <c r="BK35" i="10"/>
  <c r="AF18" i="10"/>
  <c r="F24" i="10"/>
  <c r="AZ25" i="10"/>
  <c r="BH10" i="10"/>
  <c r="BO28" i="10"/>
  <c r="AL18" i="10"/>
  <c r="G27" i="10"/>
  <c r="BB18" i="10"/>
  <c r="AY35" i="10"/>
  <c r="BF29" i="10"/>
  <c r="AU16" i="10"/>
  <c r="BI16" i="10"/>
  <c r="AI13" i="10"/>
  <c r="AF22" i="10"/>
  <c r="G22" i="10"/>
  <c r="BM21" i="10"/>
  <c r="AU20" i="10"/>
  <c r="AJ63" i="10"/>
  <c r="AJ15" i="10" s="1"/>
  <c r="AA54" i="10"/>
  <c r="AA8" i="10" s="1"/>
  <c r="AA68" i="10"/>
  <c r="AI16" i="10"/>
  <c r="BD28" i="10"/>
  <c r="BR29" i="10"/>
  <c r="AK29" i="10"/>
  <c r="BN63" i="10"/>
  <c r="BN15" i="10" s="1"/>
  <c r="BJ63" i="10"/>
  <c r="BJ15" i="10" s="1"/>
  <c r="AW8" i="10"/>
  <c r="AW27" i="10"/>
  <c r="BO21" i="10"/>
  <c r="AA74" i="10"/>
  <c r="AV7" i="10"/>
  <c r="BC63" i="10"/>
  <c r="BR63" i="10"/>
  <c r="BR15" i="10" s="1"/>
  <c r="AG25" i="10"/>
  <c r="G28" i="10"/>
  <c r="AO8" i="10"/>
  <c r="BB15" i="10"/>
  <c r="BP10" i="10"/>
  <c r="AE28" i="10"/>
  <c r="F18" i="10"/>
  <c r="O27" i="10"/>
  <c r="BK18" i="10"/>
  <c r="BG35" i="10"/>
  <c r="BO29" i="10"/>
  <c r="AO16" i="10"/>
  <c r="BQ16" i="10"/>
  <c r="O13" i="10"/>
  <c r="P13" i="10" s="1"/>
  <c r="BD22" i="10"/>
  <c r="BG22" i="10"/>
  <c r="F21" i="10"/>
  <c r="BM20" i="10"/>
  <c r="AA83" i="10"/>
  <c r="AA29" i="10" s="1"/>
  <c r="AW30" i="10"/>
  <c r="AM10" i="10"/>
  <c r="BM29" i="10"/>
  <c r="BA12" i="10"/>
  <c r="BC18" i="10"/>
  <c r="AO63" i="10"/>
  <c r="AO15" i="10" s="1"/>
  <c r="AH24" i="10"/>
  <c r="AX19" i="10"/>
  <c r="L9" i="10"/>
  <c r="AH28" i="10"/>
  <c r="AV22" i="10"/>
  <c r="AT22" i="10"/>
  <c r="BR14" i="10"/>
  <c r="BO27" i="10"/>
  <c r="AN18" i="10"/>
  <c r="BO35" i="10"/>
  <c r="BS29" i="10"/>
  <c r="BG16" i="10"/>
  <c r="AI15" i="10"/>
  <c r="AQ13" i="10"/>
  <c r="AS22" i="10"/>
  <c r="BO22" i="10"/>
  <c r="AH21" i="10"/>
  <c r="BN20" i="10"/>
  <c r="BS63" i="10"/>
  <c r="U28" i="10"/>
  <c r="BO18" i="10"/>
  <c r="BF13" i="10"/>
  <c r="AL27" i="10"/>
  <c r="AQ12" i="10"/>
  <c r="AD107" i="10"/>
  <c r="AM103" i="10"/>
  <c r="AM39" i="10" s="1"/>
  <c r="AI63" i="10"/>
  <c r="AK14" i="10"/>
  <c r="G24" i="10"/>
  <c r="AO19" i="10"/>
  <c r="AP28" i="10"/>
  <c r="BD11" i="10"/>
  <c r="AU27" i="10"/>
  <c r="AK18" i="10"/>
  <c r="AX18" i="10"/>
  <c r="BP35" i="10"/>
  <c r="F29" i="10"/>
  <c r="L16" i="10"/>
  <c r="P16" i="10" s="1"/>
  <c r="L15" i="10"/>
  <c r="BD13" i="10"/>
  <c r="BR22" i="10"/>
  <c r="BL21" i="10"/>
  <c r="AU13" i="10"/>
  <c r="AN20" i="10"/>
  <c r="AR63" i="10"/>
  <c r="AR15" i="10" s="1"/>
  <c r="AW10" i="10"/>
  <c r="BH29" i="10"/>
  <c r="AU21" i="10"/>
  <c r="AP25" i="10"/>
  <c r="BG21" i="10"/>
  <c r="BF27" i="10"/>
  <c r="AA84" i="10"/>
  <c r="AA30" i="10" s="1"/>
  <c r="AW16" i="10"/>
  <c r="AW20" i="10"/>
  <c r="AQ63" i="10"/>
  <c r="AQ15" i="10" s="1"/>
  <c r="BO30" i="10"/>
  <c r="AF19" i="10"/>
  <c r="L7" i="10"/>
  <c r="AA57" i="10"/>
  <c r="AA11" i="10" s="1"/>
  <c r="AX28" i="10"/>
  <c r="BS19" i="10"/>
  <c r="F11" i="10"/>
  <c r="BM27" i="10"/>
  <c r="BM14" i="10"/>
  <c r="AG18" i="10"/>
  <c r="AM35" i="10"/>
  <c r="F35" i="10"/>
  <c r="AJ29" i="10"/>
  <c r="BE35" i="10"/>
  <c r="AV16" i="10"/>
  <c r="BC15" i="10"/>
  <c r="AK13" i="10"/>
  <c r="AE22" i="10"/>
  <c r="AI21" i="10"/>
  <c r="BP12" i="10"/>
  <c r="AI20" i="10"/>
  <c r="AA71" i="10"/>
  <c r="AE20" i="10"/>
  <c r="AI103" i="10"/>
  <c r="AI39" i="10" s="1"/>
  <c r="AA79" i="10"/>
  <c r="AH55" i="10"/>
  <c r="AG55" i="10"/>
  <c r="AF55" i="10"/>
  <c r="AG90" i="10"/>
  <c r="AH90" i="10"/>
  <c r="AF90" i="10"/>
  <c r="AE103" i="10"/>
  <c r="AE39" i="10" s="1"/>
  <c r="U30" i="10"/>
  <c r="BA25" i="10"/>
  <c r="BG25" i="10"/>
  <c r="AH66" i="10"/>
  <c r="AG66" i="10"/>
  <c r="AF66" i="10"/>
  <c r="L86" i="10"/>
  <c r="AJ28" i="10"/>
  <c r="BH19" i="10"/>
  <c r="AS17" i="10"/>
  <c r="BP17" i="10"/>
  <c r="BE10" i="10"/>
  <c r="AG9" i="10"/>
  <c r="BH12" i="10"/>
  <c r="AS12" i="10"/>
  <c r="AF10" i="10"/>
  <c r="AN9" i="10"/>
  <c r="AF28" i="10"/>
  <c r="H28" i="10"/>
  <c r="AV28" i="10"/>
  <c r="F28" i="10"/>
  <c r="O23" i="10"/>
  <c r="AV19" i="10"/>
  <c r="BC10" i="10"/>
  <c r="AU9" i="10"/>
  <c r="AA58" i="10"/>
  <c r="AA12" i="10" s="1"/>
  <c r="G19" i="10"/>
  <c r="BA27" i="10"/>
  <c r="BP11" i="10"/>
  <c r="BS11" i="10"/>
  <c r="AT11" i="10"/>
  <c r="Y27" i="10"/>
  <c r="BE27" i="10"/>
  <c r="AE27" i="10"/>
  <c r="AO27" i="10"/>
  <c r="AZ27" i="10"/>
  <c r="BG27" i="10"/>
  <c r="L14" i="10"/>
  <c r="AZ29" i="10"/>
  <c r="AS18" i="10"/>
  <c r="U18" i="10"/>
  <c r="AI18" i="10"/>
  <c r="BM8" i="10"/>
  <c r="AX35" i="10"/>
  <c r="AH35" i="10"/>
  <c r="AE35" i="10"/>
  <c r="AQ35" i="10"/>
  <c r="BH35" i="10"/>
  <c r="BR35" i="10"/>
  <c r="AP29" i="10"/>
  <c r="BJ29" i="10"/>
  <c r="G29" i="10"/>
  <c r="AG29" i="10"/>
  <c r="AE52" i="10"/>
  <c r="AW14" i="10"/>
  <c r="BP14" i="10"/>
  <c r="AG22" i="10"/>
  <c r="BF16" i="10"/>
  <c r="AM16" i="10"/>
  <c r="BJ16" i="10"/>
  <c r="G16" i="10"/>
  <c r="AS16" i="10"/>
  <c r="AS13" i="10"/>
  <c r="AL13" i="10"/>
  <c r="AN13" i="10"/>
  <c r="BQ13" i="10"/>
  <c r="H13" i="10"/>
  <c r="BA22" i="10"/>
  <c r="AW22" i="10"/>
  <c r="BK22" i="10"/>
  <c r="AM22" i="10"/>
  <c r="AY22" i="10"/>
  <c r="AQ21" i="10"/>
  <c r="AO21" i="10"/>
  <c r="AS21" i="10"/>
  <c r="BR21" i="10"/>
  <c r="BD21" i="10"/>
  <c r="BP21" i="10"/>
  <c r="BK15" i="10"/>
  <c r="BQ20" i="10"/>
  <c r="L20" i="10"/>
  <c r="Y20" i="10"/>
  <c r="BE20" i="10"/>
  <c r="O20" i="10"/>
  <c r="BJ13" i="10"/>
  <c r="BN77" i="10"/>
  <c r="BN24" i="10" s="1"/>
  <c r="BM77" i="10"/>
  <c r="BM24" i="10" s="1"/>
  <c r="BE77" i="10"/>
  <c r="BE24" i="10" s="1"/>
  <c r="AW77" i="10"/>
  <c r="AW24" i="10" s="1"/>
  <c r="AO77" i="10"/>
  <c r="AO24" i="10" s="1"/>
  <c r="BO77" i="10"/>
  <c r="BO24" i="10" s="1"/>
  <c r="BD77" i="10"/>
  <c r="BD24" i="10" s="1"/>
  <c r="AU77" i="10"/>
  <c r="AU24" i="10" s="1"/>
  <c r="AL77" i="10"/>
  <c r="AL24" i="10" s="1"/>
  <c r="BL77" i="10"/>
  <c r="BL24" i="10" s="1"/>
  <c r="BC77" i="10"/>
  <c r="BC24" i="10" s="1"/>
  <c r="AT77" i="10"/>
  <c r="AT24" i="10" s="1"/>
  <c r="AK77" i="10"/>
  <c r="AK24" i="10" s="1"/>
  <c r="BK77" i="10"/>
  <c r="BB77" i="10"/>
  <c r="BB24" i="10" s="1"/>
  <c r="AS77" i="10"/>
  <c r="AS24" i="10" s="1"/>
  <c r="AJ77" i="10"/>
  <c r="AJ24" i="10" s="1"/>
  <c r="BP77" i="10"/>
  <c r="BP24" i="10" s="1"/>
  <c r="BF77" i="10"/>
  <c r="BF24" i="10" s="1"/>
  <c r="AV77" i="10"/>
  <c r="AV24" i="10" s="1"/>
  <c r="BS77" i="10"/>
  <c r="BS24" i="10" s="1"/>
  <c r="AZ77" i="10"/>
  <c r="AI77" i="10"/>
  <c r="BQ77" i="10"/>
  <c r="AX77" i="10"/>
  <c r="AX24" i="10" s="1"/>
  <c r="BJ77" i="10"/>
  <c r="BJ24" i="10" s="1"/>
  <c r="AR77" i="10"/>
  <c r="AR24" i="10" s="1"/>
  <c r="BG77" i="10"/>
  <c r="BG24" i="10" s="1"/>
  <c r="BA77" i="10"/>
  <c r="BA24" i="10" s="1"/>
  <c r="AY77" i="10"/>
  <c r="AY24" i="10" s="1"/>
  <c r="AQ77" i="10"/>
  <c r="AM77" i="10"/>
  <c r="AM24" i="10" s="1"/>
  <c r="BR77" i="10"/>
  <c r="BR24" i="10" s="1"/>
  <c r="AP77" i="10"/>
  <c r="AP24" i="10" s="1"/>
  <c r="BI77" i="10"/>
  <c r="BI24" i="10" s="1"/>
  <c r="BH77" i="10"/>
  <c r="BH24" i="10" s="1"/>
  <c r="AN77" i="10"/>
  <c r="AN24" i="10" s="1"/>
  <c r="AA56" i="10"/>
  <c r="AA82" i="10"/>
  <c r="AA28" i="10" s="1"/>
  <c r="BJ7" i="10"/>
  <c r="BI7" i="10"/>
  <c r="AH64" i="10"/>
  <c r="AG64" i="10"/>
  <c r="AF64" i="10"/>
  <c r="AC107" i="10"/>
  <c r="BB7" i="10"/>
  <c r="BA7" i="10"/>
  <c r="AJ30" i="10"/>
  <c r="AJ25" i="10"/>
  <c r="BD30" i="10"/>
  <c r="BC30" i="10"/>
  <c r="BM30" i="10"/>
  <c r="AI25" i="10"/>
  <c r="BB30" i="10"/>
  <c r="U25" i="10"/>
  <c r="O24" i="10"/>
  <c r="AR17" i="10"/>
  <c r="AH12" i="10"/>
  <c r="BE9" i="10"/>
  <c r="AG8" i="10"/>
  <c r="AN19" i="10"/>
  <c r="L12" i="10"/>
  <c r="BD10" i="10"/>
  <c r="BL9" i="10"/>
  <c r="AZ28" i="10"/>
  <c r="BM28" i="10"/>
  <c r="AW28" i="10"/>
  <c r="BF28" i="10"/>
  <c r="AO12" i="10"/>
  <c r="BS9" i="10"/>
  <c r="BA19" i="10"/>
  <c r="BG19" i="10"/>
  <c r="BB14" i="10"/>
  <c r="AQ11" i="10"/>
  <c r="BK11" i="10"/>
  <c r="BA11" i="10"/>
  <c r="AK35" i="10"/>
  <c r="BD27" i="10"/>
  <c r="AS27" i="10"/>
  <c r="U27" i="10"/>
  <c r="AI27" i="10"/>
  <c r="AZ14" i="10"/>
  <c r="AH18" i="10"/>
  <c r="AW18" i="10"/>
  <c r="BH18" i="10"/>
  <c r="BR18" i="10"/>
  <c r="BL14" i="10"/>
  <c r="AV35" i="10"/>
  <c r="AN35" i="10"/>
  <c r="AP35" i="10"/>
  <c r="AJ35" i="10"/>
  <c r="AT35" i="10"/>
  <c r="AY29" i="10"/>
  <c r="Y29" i="10"/>
  <c r="AI29" i="10"/>
  <c r="AS29" i="10"/>
  <c r="BC29" i="10"/>
  <c r="BN30" i="10"/>
  <c r="BS14" i="10"/>
  <c r="BN14" i="10"/>
  <c r="AO14" i="10"/>
  <c r="BI14" i="10"/>
  <c r="BM16" i="10"/>
  <c r="AP16" i="10"/>
  <c r="AH16" i="10"/>
  <c r="AR16" i="10"/>
  <c r="BL16" i="10"/>
  <c r="AP15" i="10"/>
  <c r="G15" i="10"/>
  <c r="AL15" i="10"/>
  <c r="G13" i="10"/>
  <c r="BQ22" i="10"/>
  <c r="BR16" i="10"/>
  <c r="BH22" i="10"/>
  <c r="BA13" i="10"/>
  <c r="BC13" i="10"/>
  <c r="AO13" i="10"/>
  <c r="AY13" i="10"/>
  <c r="BH13" i="10"/>
  <c r="AU22" i="10"/>
  <c r="BJ22" i="10"/>
  <c r="BC22" i="10"/>
  <c r="O22" i="10"/>
  <c r="P22" i="10" s="1"/>
  <c r="AL29" i="10"/>
  <c r="AM21" i="10"/>
  <c r="BJ21" i="10"/>
  <c r="AK21" i="10"/>
  <c r="BH21" i="10"/>
  <c r="AP21" i="10"/>
  <c r="BB20" i="10"/>
  <c r="BJ20" i="10"/>
  <c r="BI20" i="10"/>
  <c r="BF20" i="10"/>
  <c r="BO20" i="10"/>
  <c r="AH22" i="10"/>
  <c r="AA62" i="10"/>
  <c r="AA14" i="10" s="1"/>
  <c r="BQ7" i="10"/>
  <c r="AA70" i="10"/>
  <c r="AE10" i="10"/>
  <c r="AE18" i="10"/>
  <c r="AA35" i="10"/>
  <c r="AE76" i="10"/>
  <c r="X76" i="10"/>
  <c r="Y76" i="10" s="1"/>
  <c r="P103" i="10"/>
  <c r="AT7" i="10"/>
  <c r="AS7" i="10"/>
  <c r="AS30" i="10"/>
  <c r="BK30" i="10"/>
  <c r="BS25" i="10"/>
  <c r="AQ25" i="10"/>
  <c r="AR30" i="10"/>
  <c r="L25" i="10"/>
  <c r="AI24" i="10"/>
  <c r="F33" i="10"/>
  <c r="F23" i="10"/>
  <c r="BK17" i="10"/>
  <c r="AZ17" i="10"/>
  <c r="U12" i="10"/>
  <c r="AW9" i="10"/>
  <c r="U8" i="10"/>
  <c r="Y12" i="10"/>
  <c r="AV10" i="10"/>
  <c r="BD9" i="10"/>
  <c r="BQ28" i="10"/>
  <c r="BI28" i="10"/>
  <c r="BG28" i="10"/>
  <c r="BN28" i="10"/>
  <c r="BN19" i="10"/>
  <c r="AF12" i="10"/>
  <c r="BK9" i="10"/>
  <c r="AR19" i="10"/>
  <c r="BO19" i="10"/>
  <c r="AW35" i="10"/>
  <c r="AL14" i="10"/>
  <c r="AZ11" i="10"/>
  <c r="H11" i="10"/>
  <c r="BI11" i="10"/>
  <c r="BD29" i="10"/>
  <c r="H27" i="10"/>
  <c r="BB27" i="10"/>
  <c r="AG27" i="10"/>
  <c r="AQ27" i="10"/>
  <c r="AJ14" i="10"/>
  <c r="BF18" i="10"/>
  <c r="BQ18" i="10"/>
  <c r="G18" i="10"/>
  <c r="AY14" i="10"/>
  <c r="AG35" i="10"/>
  <c r="G35" i="10"/>
  <c r="BA35" i="10"/>
  <c r="BD35" i="10"/>
  <c r="AR35" i="10"/>
  <c r="BB35" i="10"/>
  <c r="BQ29" i="10"/>
  <c r="AU29" i="10"/>
  <c r="AR29" i="10"/>
  <c r="BB29" i="10"/>
  <c r="BL29" i="10"/>
  <c r="AH7" i="10"/>
  <c r="BC14" i="10"/>
  <c r="AE14" i="10"/>
  <c r="AX14" i="10"/>
  <c r="BQ14" i="10"/>
  <c r="BH16" i="10"/>
  <c r="AQ16" i="10"/>
  <c r="BB16" i="10"/>
  <c r="Y16" i="10"/>
  <c r="AU15" i="10"/>
  <c r="Y15" i="10"/>
  <c r="AR21" i="10"/>
  <c r="AG16" i="10"/>
  <c r="BM13" i="10"/>
  <c r="BS13" i="10"/>
  <c r="AX13" i="10"/>
  <c r="BI13" i="10"/>
  <c r="BP13" i="10"/>
  <c r="BS22" i="10"/>
  <c r="U22" i="10"/>
  <c r="AN22" i="10"/>
  <c r="BL22" i="10"/>
  <c r="AI22" i="10"/>
  <c r="AZ21" i="10"/>
  <c r="BI21" i="10"/>
  <c r="O21" i="10"/>
  <c r="AT21" i="10"/>
  <c r="BS21" i="10"/>
  <c r="AX21" i="10"/>
  <c r="BC20" i="10"/>
  <c r="AT20" i="10"/>
  <c r="AS20" i="10"/>
  <c r="BR20" i="10"/>
  <c r="AM20" i="10"/>
  <c r="AA101" i="10"/>
  <c r="BR7" i="10"/>
  <c r="BL7" i="10"/>
  <c r="AA75" i="10"/>
  <c r="AA22" i="10" s="1"/>
  <c r="AA78" i="10"/>
  <c r="AG26" i="10"/>
  <c r="U26" i="10"/>
  <c r="L26" i="10"/>
  <c r="BK24" i="10"/>
  <c r="AF26" i="10"/>
  <c r="BR30" i="10"/>
  <c r="BH30" i="10"/>
  <c r="AX30" i="10"/>
  <c r="AL30" i="10"/>
  <c r="O30" i="10"/>
  <c r="P30" i="10" s="1"/>
  <c r="G30" i="10"/>
  <c r="BL30" i="10"/>
  <c r="AQ30" i="10"/>
  <c r="F26" i="10"/>
  <c r="BH25" i="10"/>
  <c r="AU25" i="10"/>
  <c r="AE25" i="10"/>
  <c r="F25" i="10"/>
  <c r="AG24" i="10"/>
  <c r="BJ30" i="10"/>
  <c r="AP30" i="10"/>
  <c r="H30" i="10"/>
  <c r="BS28" i="10"/>
  <c r="BA28" i="10"/>
  <c r="AI28" i="10"/>
  <c r="AE26" i="10"/>
  <c r="BF25" i="10"/>
  <c r="AT25" i="10"/>
  <c r="AF24" i="10"/>
  <c r="BS17" i="10"/>
  <c r="BJ17" i="10"/>
  <c r="BA17" i="10"/>
  <c r="AQ17" i="10"/>
  <c r="AH17" i="10"/>
  <c r="U17" i="10"/>
  <c r="L17" i="10"/>
  <c r="BL8" i="10"/>
  <c r="BD8" i="10"/>
  <c r="AV8" i="10"/>
  <c r="AN8" i="10"/>
  <c r="AF8" i="10"/>
  <c r="L8" i="10"/>
  <c r="BI30" i="10"/>
  <c r="AN30" i="10"/>
  <c r="F30" i="10"/>
  <c r="BE25" i="10"/>
  <c r="AO25" i="10"/>
  <c r="Y25" i="10"/>
  <c r="AE24" i="10"/>
  <c r="H24" i="10"/>
  <c r="BR17" i="10"/>
  <c r="BI17" i="10"/>
  <c r="AY17" i="10"/>
  <c r="AP17" i="10"/>
  <c r="AG17" i="10"/>
  <c r="BS8" i="10"/>
  <c r="BK8" i="10"/>
  <c r="BC8" i="10"/>
  <c r="AU8" i="10"/>
  <c r="AM8" i="10"/>
  <c r="AE8" i="10"/>
  <c r="Y35" i="10"/>
  <c r="AY30" i="10"/>
  <c r="Y30" i="10"/>
  <c r="BH28" i="10"/>
  <c r="AO28" i="10"/>
  <c r="BM25" i="10"/>
  <c r="AW25" i="10"/>
  <c r="AK25" i="10"/>
  <c r="L24" i="10"/>
  <c r="AG23" i="10"/>
  <c r="BM17" i="10"/>
  <c r="BD17" i="10"/>
  <c r="AU17" i="10"/>
  <c r="AL17" i="10"/>
  <c r="Y17" i="10"/>
  <c r="O17" i="10"/>
  <c r="F17" i="10"/>
  <c r="T17" i="10" s="1"/>
  <c r="AF30" i="10"/>
  <c r="BJ28" i="10"/>
  <c r="AX25" i="10"/>
  <c r="H25" i="10"/>
  <c r="Y24" i="10"/>
  <c r="BM19" i="10"/>
  <c r="AU19" i="10"/>
  <c r="Y19" i="10"/>
  <c r="BG17" i="10"/>
  <c r="AO17" i="10"/>
  <c r="G17" i="10"/>
  <c r="BO12" i="10"/>
  <c r="BC12" i="10"/>
  <c r="AM12" i="10"/>
  <c r="BG10" i="10"/>
  <c r="AS10" i="10"/>
  <c r="AH10" i="10"/>
  <c r="G10" i="10"/>
  <c r="BN9" i="10"/>
  <c r="AZ9" i="10"/>
  <c r="AL9" i="10"/>
  <c r="BR8" i="10"/>
  <c r="BG8" i="10"/>
  <c r="AS8" i="10"/>
  <c r="AH8" i="10"/>
  <c r="G8" i="10"/>
  <c r="BM7" i="10"/>
  <c r="AQ7" i="10"/>
  <c r="BC28" i="10"/>
  <c r="AV25" i="10"/>
  <c r="AZ24" i="10"/>
  <c r="BL19" i="10"/>
  <c r="AT19" i="10"/>
  <c r="BF17" i="10"/>
  <c r="AN17" i="10"/>
  <c r="BN12" i="10"/>
  <c r="BB12" i="10"/>
  <c r="AL12" i="10"/>
  <c r="BO11" i="10"/>
  <c r="AY11" i="10"/>
  <c r="AM11" i="10"/>
  <c r="BS10" i="10"/>
  <c r="BF10" i="10"/>
  <c r="AR10" i="10"/>
  <c r="AA10" i="10"/>
  <c r="F10" i="10"/>
  <c r="BJ9" i="10"/>
  <c r="AY9" i="10"/>
  <c r="AK9" i="10"/>
  <c r="BQ8" i="10"/>
  <c r="BF8" i="10"/>
  <c r="AR8" i="10"/>
  <c r="F8" i="10"/>
  <c r="BK7" i="10"/>
  <c r="AZ7" i="10"/>
  <c r="AP7" i="10"/>
  <c r="H7" i="10"/>
  <c r="H33" i="10"/>
  <c r="BQ30" i="10"/>
  <c r="AT28" i="10"/>
  <c r="AT27" i="10"/>
  <c r="BQ25" i="10"/>
  <c r="AN25" i="10"/>
  <c r="AH23" i="10"/>
  <c r="BK19" i="10"/>
  <c r="AS19" i="10"/>
  <c r="BE17" i="10"/>
  <c r="AM17" i="10"/>
  <c r="BM12" i="10"/>
  <c r="AW12" i="10"/>
  <c r="AJ12" i="10"/>
  <c r="H12" i="10"/>
  <c r="BN11" i="10"/>
  <c r="AX11" i="10"/>
  <c r="AL11" i="10"/>
  <c r="BR10" i="10"/>
  <c r="BB10" i="10"/>
  <c r="AQ10" i="10"/>
  <c r="Y10" i="10"/>
  <c r="O10" i="10"/>
  <c r="BI9" i="10"/>
  <c r="AX9" i="10"/>
  <c r="AJ9" i="10"/>
  <c r="BP8" i="10"/>
  <c r="BB8" i="10"/>
  <c r="AQ8" i="10"/>
  <c r="Y8" i="10"/>
  <c r="O8" i="10"/>
  <c r="AY7" i="10"/>
  <c r="AO7" i="10"/>
  <c r="Y7" i="10"/>
  <c r="G7" i="10"/>
  <c r="AC33" i="10"/>
  <c r="BG30" i="10"/>
  <c r="AS28" i="10"/>
  <c r="AK27" i="10"/>
  <c r="BP25" i="10"/>
  <c r="AM25" i="10"/>
  <c r="BA30" i="10"/>
  <c r="AR28" i="10"/>
  <c r="AZ30" i="10"/>
  <c r="AK28" i="10"/>
  <c r="BN27" i="10"/>
  <c r="BL25" i="10"/>
  <c r="AF25" i="10"/>
  <c r="AV30" i="10"/>
  <c r="BL28" i="10"/>
  <c r="BL27" i="10"/>
  <c r="BD25" i="10"/>
  <c r="AK30" i="10"/>
  <c r="BK28" i="10"/>
  <c r="BC27" i="10"/>
  <c r="H26" i="10"/>
  <c r="BC25" i="10"/>
  <c r="BR19" i="10"/>
  <c r="AZ19" i="10"/>
  <c r="AG19" i="10"/>
  <c r="F19" i="10"/>
  <c r="BE18" i="10"/>
  <c r="AM18" i="10"/>
  <c r="H18" i="10"/>
  <c r="BL17" i="10"/>
  <c r="AT17" i="10"/>
  <c r="BD12" i="10"/>
  <c r="AN12" i="10"/>
  <c r="BR11" i="10"/>
  <c r="BE11" i="10"/>
  <c r="AO11" i="10"/>
  <c r="BI10" i="10"/>
  <c r="AT10" i="10"/>
  <c r="AI10" i="10"/>
  <c r="H10" i="10"/>
  <c r="BO9" i="10"/>
  <c r="BA9" i="10"/>
  <c r="AP9" i="10"/>
  <c r="BH8" i="10"/>
  <c r="AT8" i="10"/>
  <c r="AI8" i="10"/>
  <c r="H8" i="10"/>
  <c r="BN7" i="10"/>
  <c r="BC7" i="10"/>
  <c r="AR7" i="10"/>
  <c r="BD19" i="10"/>
  <c r="AV18" i="10"/>
  <c r="AW17" i="10"/>
  <c r="AQ14" i="10"/>
  <c r="F14" i="10"/>
  <c r="BE12" i="10"/>
  <c r="BM11" i="10"/>
  <c r="AG11" i="10"/>
  <c r="BK10" i="10"/>
  <c r="AK10" i="10"/>
  <c r="BP9" i="10"/>
  <c r="AQ9" i="10"/>
  <c r="G9" i="10"/>
  <c r="BA8" i="10"/>
  <c r="BG7" i="10"/>
  <c r="F7" i="10"/>
  <c r="BC19" i="10"/>
  <c r="U19" i="10"/>
  <c r="H19" i="10"/>
  <c r="AU18" i="10"/>
  <c r="AV17" i="10"/>
  <c r="BK14" i="10"/>
  <c r="AH14" i="10"/>
  <c r="AV12" i="10"/>
  <c r="BH11" i="10"/>
  <c r="AF11" i="10"/>
  <c r="BJ10" i="10"/>
  <c r="AJ10" i="10"/>
  <c r="BH9" i="10"/>
  <c r="AI9" i="10"/>
  <c r="F9" i="10"/>
  <c r="AZ8" i="10"/>
  <c r="BF7" i="10"/>
  <c r="AJ7" i="10"/>
  <c r="BQ24" i="10"/>
  <c r="BB19" i="10"/>
  <c r="AT18" i="10"/>
  <c r="AK17" i="10"/>
  <c r="BJ14" i="10"/>
  <c r="AG14" i="10"/>
  <c r="O14" i="10"/>
  <c r="AU12" i="10"/>
  <c r="BG11" i="10"/>
  <c r="AE11" i="10"/>
  <c r="BA10" i="10"/>
  <c r="BG9" i="10"/>
  <c r="AH9" i="10"/>
  <c r="AY8" i="10"/>
  <c r="BE7" i="10"/>
  <c r="AI7" i="10"/>
  <c r="O7" i="10"/>
  <c r="AF23" i="10"/>
  <c r="L23" i="10"/>
  <c r="P23" i="10" s="1"/>
  <c r="AF21" i="10"/>
  <c r="L21" i="10"/>
  <c r="AP19" i="10"/>
  <c r="AR18" i="10"/>
  <c r="BQ17" i="10"/>
  <c r="AF17" i="10"/>
  <c r="BP16" i="10"/>
  <c r="AF16" i="10"/>
  <c r="BH14" i="10"/>
  <c r="AT12" i="10"/>
  <c r="BF11" i="10"/>
  <c r="AZ10" i="10"/>
  <c r="BF9" i="10"/>
  <c r="AA21" i="10"/>
  <c r="AL19" i="10"/>
  <c r="BN18" i="10"/>
  <c r="BO17" i="10"/>
  <c r="AE17" i="10"/>
  <c r="BO16" i="10"/>
  <c r="AE16" i="10"/>
  <c r="BG15" i="10"/>
  <c r="BD14" i="10"/>
  <c r="AR12" i="10"/>
  <c r="G12" i="10"/>
  <c r="AW11" i="10"/>
  <c r="AY10" i="10"/>
  <c r="BB9" i="10"/>
  <c r="AL25" i="10"/>
  <c r="U24" i="10"/>
  <c r="BI19" i="10"/>
  <c r="BJ18" i="10"/>
  <c r="AX17" i="10"/>
  <c r="AX16" i="10"/>
  <c r="AR14" i="10"/>
  <c r="G14" i="10"/>
  <c r="BF12" i="10"/>
  <c r="O12" i="10"/>
  <c r="AP11" i="10"/>
  <c r="BO10" i="10"/>
  <c r="AL10" i="10"/>
  <c r="BQ9" i="10"/>
  <c r="AR9" i="10"/>
  <c r="H9" i="10"/>
  <c r="BI8" i="10"/>
  <c r="AJ8" i="10"/>
  <c r="BH7" i="10"/>
  <c r="AM7" i="10"/>
  <c r="BA21" i="10"/>
  <c r="AK19" i="10"/>
  <c r="L19" i="10"/>
  <c r="BE13" i="10"/>
  <c r="AI12" i="10"/>
  <c r="AT9" i="10"/>
  <c r="BN8" i="10"/>
  <c r="BS7" i="10"/>
  <c r="AJ19" i="10"/>
  <c r="F15" i="10"/>
  <c r="AV13" i="10"/>
  <c r="AE12" i="10"/>
  <c r="AS9" i="10"/>
  <c r="O9" i="10"/>
  <c r="P9" i="10" s="1"/>
  <c r="BJ8" i="10"/>
  <c r="U23" i="10"/>
  <c r="BD16" i="10"/>
  <c r="Y13" i="10"/>
  <c r="BQ10" i="10"/>
  <c r="AX8" i="10"/>
  <c r="BP7" i="10"/>
  <c r="BN25" i="10"/>
  <c r="AR22" i="10"/>
  <c r="AY16" i="10"/>
  <c r="F12" i="10"/>
  <c r="AX10" i="10"/>
  <c r="Y9" i="10"/>
  <c r="AP8" i="10"/>
  <c r="BO7" i="10"/>
  <c r="U7" i="10"/>
  <c r="AO22" i="10"/>
  <c r="BA20" i="10"/>
  <c r="BN17" i="10"/>
  <c r="H16" i="10"/>
  <c r="BN21" i="10"/>
  <c r="Y18" i="10"/>
  <c r="BK12" i="10"/>
  <c r="AU11" i="10"/>
  <c r="BR9" i="10"/>
  <c r="BO8" i="10"/>
  <c r="BC17" i="10"/>
  <c r="BL12" i="10"/>
  <c r="AU7" i="10"/>
  <c r="AA17" i="10"/>
  <c r="AU14" i="10"/>
  <c r="AT14" i="10"/>
  <c r="BM18" i="10"/>
  <c r="H14" i="10"/>
  <c r="AV11" i="10"/>
  <c r="AL8" i="10"/>
  <c r="BL18" i="10"/>
  <c r="AK8" i="10"/>
  <c r="BS27" i="10"/>
  <c r="O28" i="10"/>
  <c r="P28" i="10" s="1"/>
  <c r="AH27" i="10"/>
  <c r="AX20" i="10"/>
  <c r="AP10" i="10"/>
  <c r="AX7" i="10"/>
  <c r="AW7" i="10"/>
  <c r="AL7" i="10"/>
  <c r="AK7" i="10"/>
  <c r="AA67" i="10"/>
  <c r="AI30" i="10"/>
  <c r="BS30" i="10"/>
  <c r="BJ25" i="10"/>
  <c r="AY25" i="10"/>
  <c r="AH30" i="10"/>
  <c r="AQ24" i="10"/>
  <c r="AA72" i="10"/>
  <c r="AA19" i="10" s="1"/>
  <c r="BB28" i="10"/>
  <c r="BQ19" i="10"/>
  <c r="BB17" i="10"/>
  <c r="BH17" i="10"/>
  <c r="BN10" i="10"/>
  <c r="AO9" i="10"/>
  <c r="BD7" i="10"/>
  <c r="BR12" i="10"/>
  <c r="AK12" i="10"/>
  <c r="AN10" i="10"/>
  <c r="AV9" i="10"/>
  <c r="AY28" i="10"/>
  <c r="BR28" i="10"/>
  <c r="AM28" i="10"/>
  <c r="BP28" i="10"/>
  <c r="BR25" i="10"/>
  <c r="G23" i="10"/>
  <c r="BE19" i="10"/>
  <c r="BC9" i="10"/>
  <c r="AH19" i="10"/>
  <c r="BG29" i="10"/>
  <c r="U14" i="10"/>
  <c r="BJ11" i="10"/>
  <c r="AJ11" i="10"/>
  <c r="BQ11" i="10"/>
  <c r="AV27" i="10"/>
  <c r="AM27" i="10"/>
  <c r="BK27" i="10"/>
  <c r="AF27" i="10"/>
  <c r="AP27" i="10"/>
  <c r="AY27" i="10"/>
  <c r="AI35" i="10"/>
  <c r="AJ18" i="10"/>
  <c r="BP18" i="10"/>
  <c r="L18" i="10"/>
  <c r="O18" i="10"/>
  <c r="AI14" i="10"/>
  <c r="H35" i="10"/>
  <c r="U35" i="10"/>
  <c r="BM35" i="10"/>
  <c r="BQ35" i="10"/>
  <c r="AZ35" i="10"/>
  <c r="BJ35" i="10"/>
  <c r="BN29" i="10"/>
  <c r="BA29" i="10"/>
  <c r="BK29" i="10"/>
  <c r="U29" i="10"/>
  <c r="AG7" i="10"/>
  <c r="AP14" i="10"/>
  <c r="AN14" i="10"/>
  <c r="BG14" i="10"/>
  <c r="BM9" i="10"/>
  <c r="AN16" i="10"/>
  <c r="AZ16" i="10"/>
  <c r="BK16" i="10"/>
  <c r="AK16" i="10"/>
  <c r="BS15" i="10"/>
  <c r="BK13" i="10"/>
  <c r="U13" i="10"/>
  <c r="AE13" i="10"/>
  <c r="BG13" i="10"/>
  <c r="BR13" i="10"/>
  <c r="BF22" i="10"/>
  <c r="Y22" i="10"/>
  <c r="AJ22" i="10"/>
  <c r="AZ22" i="10"/>
  <c r="AQ22" i="10"/>
  <c r="U21" i="10"/>
  <c r="AJ21" i="10"/>
  <c r="BE21" i="10"/>
  <c r="AV21" i="10"/>
  <c r="BF21" i="10"/>
  <c r="AF20" i="10"/>
  <c r="BL20" i="10"/>
  <c r="BK20" i="10"/>
  <c r="H20" i="10"/>
  <c r="AV20" i="10"/>
  <c r="G20" i="10"/>
  <c r="BL10" i="10"/>
  <c r="AL16" i="10"/>
  <c r="AQ80" i="10" l="1"/>
  <c r="AQ26" i="10" s="1"/>
  <c r="BJ80" i="10"/>
  <c r="BJ26" i="10" s="1"/>
  <c r="BP80" i="10"/>
  <c r="BP26" i="10" s="1"/>
  <c r="BH80" i="10"/>
  <c r="BH26" i="10" s="1"/>
  <c r="BB80" i="10"/>
  <c r="BB26" i="10" s="1"/>
  <c r="P19" i="10"/>
  <c r="AV80" i="10"/>
  <c r="AV26" i="10" s="1"/>
  <c r="AW80" i="10"/>
  <c r="AW26" i="10" s="1"/>
  <c r="BG80" i="10"/>
  <c r="BG26" i="10" s="1"/>
  <c r="AU80" i="10"/>
  <c r="AU26" i="10" s="1"/>
  <c r="AA18" i="10"/>
  <c r="AD37" i="10"/>
  <c r="AD41" i="10" s="1"/>
  <c r="AA16" i="10"/>
  <c r="AA61" i="10"/>
  <c r="AF63" i="10"/>
  <c r="AA63" i="10" s="1"/>
  <c r="O15" i="10"/>
  <c r="P15" i="10" s="1"/>
  <c r="AG63" i="10"/>
  <c r="K22" i="10"/>
  <c r="P63" i="10"/>
  <c r="AE63" i="10" s="1"/>
  <c r="AE15" i="10" s="1"/>
  <c r="BR80" i="10"/>
  <c r="BR26" i="10" s="1"/>
  <c r="AR80" i="10"/>
  <c r="AR26" i="10" s="1"/>
  <c r="BS80" i="10"/>
  <c r="BS26" i="10" s="1"/>
  <c r="BI80" i="10"/>
  <c r="BI26" i="10" s="1"/>
  <c r="AI80" i="10"/>
  <c r="AI26" i="10" s="1"/>
  <c r="AZ80" i="10"/>
  <c r="AZ26" i="10" s="1"/>
  <c r="BC80" i="10"/>
  <c r="BC26" i="10" s="1"/>
  <c r="AS80" i="10"/>
  <c r="AS26" i="10" s="1"/>
  <c r="AO80" i="10"/>
  <c r="AO26" i="10" s="1"/>
  <c r="BL80" i="10"/>
  <c r="BL26" i="10" s="1"/>
  <c r="BA80" i="10"/>
  <c r="BA26" i="10" s="1"/>
  <c r="BK80" i="10"/>
  <c r="BK26" i="10" s="1"/>
  <c r="BF80" i="10"/>
  <c r="BF26" i="10" s="1"/>
  <c r="AL80" i="10"/>
  <c r="AL26" i="10" s="1"/>
  <c r="AX80" i="10"/>
  <c r="AX26" i="10" s="1"/>
  <c r="AN80" i="10"/>
  <c r="AN26" i="10" s="1"/>
  <c r="BO80" i="10"/>
  <c r="BO26" i="10" s="1"/>
  <c r="AY80" i="10"/>
  <c r="AY26" i="10" s="1"/>
  <c r="AK80" i="10"/>
  <c r="AK26" i="10" s="1"/>
  <c r="BQ80" i="10"/>
  <c r="BQ26" i="10" s="1"/>
  <c r="AJ80" i="10"/>
  <c r="AJ26" i="10" s="1"/>
  <c r="AT80" i="10"/>
  <c r="AT26" i="10" s="1"/>
  <c r="AM80" i="10"/>
  <c r="AM26" i="10" s="1"/>
  <c r="BN80" i="10"/>
  <c r="BN26" i="10" s="1"/>
  <c r="BE80" i="10"/>
  <c r="BE26" i="10" s="1"/>
  <c r="U15" i="10"/>
  <c r="U31" i="10" s="1"/>
  <c r="N21" i="10"/>
  <c r="X21" i="10"/>
  <c r="AA103" i="10"/>
  <c r="AA39" i="10" s="1"/>
  <c r="AH15" i="10"/>
  <c r="N23" i="10"/>
  <c r="T15" i="10"/>
  <c r="O86" i="10"/>
  <c r="O88" i="10" s="1"/>
  <c r="O33" i="10" s="1"/>
  <c r="P10" i="10"/>
  <c r="K23" i="10"/>
  <c r="BD80" i="10"/>
  <c r="BD26" i="10" s="1"/>
  <c r="U86" i="10"/>
  <c r="T21" i="10"/>
  <c r="P25" i="10"/>
  <c r="BM80" i="10"/>
  <c r="BM26" i="10" s="1"/>
  <c r="P21" i="10"/>
  <c r="AP80" i="10"/>
  <c r="AP26" i="10" s="1"/>
  <c r="AG13" i="10"/>
  <c r="AA25" i="10"/>
  <c r="AA13" i="10"/>
  <c r="P24" i="10"/>
  <c r="AA64" i="10"/>
  <c r="X15" i="10"/>
  <c r="K15" i="10"/>
  <c r="P27" i="10"/>
  <c r="N15" i="10"/>
  <c r="K29" i="10"/>
  <c r="T29" i="10"/>
  <c r="AC37" i="10"/>
  <c r="AC41" i="10" s="1"/>
  <c r="X17" i="10"/>
  <c r="N29" i="10"/>
  <c r="P86" i="10"/>
  <c r="F31" i="10"/>
  <c r="F150" i="10" s="1"/>
  <c r="P8" i="10"/>
  <c r="X29" i="10"/>
  <c r="AA66" i="10"/>
  <c r="AA77" i="10"/>
  <c r="AA24" i="10" s="1"/>
  <c r="P26" i="10"/>
  <c r="P18" i="10"/>
  <c r="AH86" i="10"/>
  <c r="T22" i="10"/>
  <c r="X22" i="10"/>
  <c r="X27" i="10"/>
  <c r="T27" i="10"/>
  <c r="K27" i="10"/>
  <c r="N27" i="10"/>
  <c r="U88" i="10"/>
  <c r="U92" i="10" s="1"/>
  <c r="U107" i="10" s="1"/>
  <c r="N13" i="10"/>
  <c r="T13" i="10"/>
  <c r="X13" i="10"/>
  <c r="K13" i="10"/>
  <c r="AA90" i="10" a="1"/>
  <c r="AA90" i="10" s="1"/>
  <c r="P12" i="10"/>
  <c r="P20" i="10"/>
  <c r="AA55" i="10"/>
  <c r="AA9" i="10" s="1"/>
  <c r="AF9" i="10"/>
  <c r="T26" i="10"/>
  <c r="K26" i="10"/>
  <c r="N26" i="10"/>
  <c r="X26" i="10"/>
  <c r="X9" i="10"/>
  <c r="N9" i="10"/>
  <c r="T9" i="10"/>
  <c r="K9" i="10"/>
  <c r="T24" i="10"/>
  <c r="K24" i="10"/>
  <c r="N24" i="10"/>
  <c r="X24" i="10"/>
  <c r="AH31" i="10"/>
  <c r="X14" i="10"/>
  <c r="T14" i="10"/>
  <c r="K14" i="10"/>
  <c r="N14" i="10"/>
  <c r="X19" i="10"/>
  <c r="N19" i="10"/>
  <c r="T19" i="10"/>
  <c r="K19" i="10"/>
  <c r="T8" i="10"/>
  <c r="K8" i="10"/>
  <c r="X8" i="10"/>
  <c r="N8" i="10"/>
  <c r="X12" i="10"/>
  <c r="N12" i="10"/>
  <c r="K12" i="10"/>
  <c r="T12" i="10"/>
  <c r="AE86" i="10"/>
  <c r="AA52" i="10"/>
  <c r="AA7" i="10" s="1"/>
  <c r="AE7" i="10"/>
  <c r="T28" i="10"/>
  <c r="X28" i="10"/>
  <c r="K28" i="10"/>
  <c r="N28" i="10"/>
  <c r="N10" i="10"/>
  <c r="X10" i="10"/>
  <c r="K10" i="10"/>
  <c r="T10" i="10"/>
  <c r="X30" i="10"/>
  <c r="N30" i="10"/>
  <c r="K30" i="10"/>
  <c r="T30" i="10"/>
  <c r="AE23" i="10"/>
  <c r="N17" i="10"/>
  <c r="G31" i="10"/>
  <c r="G150" i="10" s="1"/>
  <c r="H31" i="10"/>
  <c r="H150" i="10" s="1"/>
  <c r="X7" i="10"/>
  <c r="K7" i="10"/>
  <c r="N7" i="10"/>
  <c r="T7" i="10"/>
  <c r="X18" i="10"/>
  <c r="T18" i="10"/>
  <c r="N18" i="10"/>
  <c r="K18" i="10"/>
  <c r="T25" i="10"/>
  <c r="K25" i="10"/>
  <c r="X25" i="10"/>
  <c r="N25" i="10"/>
  <c r="P17" i="10"/>
  <c r="P7" i="10"/>
  <c r="K17" i="10"/>
  <c r="L88" i="10"/>
  <c r="K20" i="10"/>
  <c r="N20" i="10"/>
  <c r="X20" i="10"/>
  <c r="T20" i="10"/>
  <c r="T16" i="10"/>
  <c r="X16" i="10"/>
  <c r="N16" i="10"/>
  <c r="K16" i="10"/>
  <c r="BN76" i="10"/>
  <c r="BF76" i="10"/>
  <c r="AX76" i="10"/>
  <c r="AP76" i="10"/>
  <c r="BR76" i="10"/>
  <c r="BI76" i="10"/>
  <c r="AZ76" i="10"/>
  <c r="AQ76" i="10"/>
  <c r="BQ76" i="10"/>
  <c r="BH76" i="10"/>
  <c r="AY76" i="10"/>
  <c r="AO76" i="10"/>
  <c r="BP76" i="10"/>
  <c r="BG76" i="10"/>
  <c r="AW76" i="10"/>
  <c r="AN76" i="10"/>
  <c r="BE76" i="10"/>
  <c r="AS76" i="10"/>
  <c r="BS76" i="10"/>
  <c r="BC76" i="10"/>
  <c r="AM76" i="10"/>
  <c r="BO76" i="10"/>
  <c r="BB76" i="10"/>
  <c r="AL76" i="10"/>
  <c r="BL76" i="10"/>
  <c r="AR76" i="10"/>
  <c r="BK76" i="10"/>
  <c r="AK76" i="10"/>
  <c r="BJ76" i="10"/>
  <c r="AJ76" i="10"/>
  <c r="BD76" i="10"/>
  <c r="AI76" i="10"/>
  <c r="BM76" i="10"/>
  <c r="BA76" i="10"/>
  <c r="AV76" i="10"/>
  <c r="AU76" i="10"/>
  <c r="AT76" i="10"/>
  <c r="Y23" i="10"/>
  <c r="Y31" i="10" s="1"/>
  <c r="Y86" i="10"/>
  <c r="L31" i="10"/>
  <c r="X23" i="10"/>
  <c r="P14" i="10"/>
  <c r="AF86" i="10" l="1"/>
  <c r="AF15" i="10"/>
  <c r="O31" i="10"/>
  <c r="P31" i="10" s="1"/>
  <c r="AA80" i="10"/>
  <c r="AA26" i="10" s="1"/>
  <c r="AG15" i="10"/>
  <c r="AG31" i="10" s="1"/>
  <c r="AG86" i="10"/>
  <c r="AA15" i="10"/>
  <c r="AF31" i="10"/>
  <c r="Y150" i="10"/>
  <c r="BD86" i="10"/>
  <c r="BD23" i="10"/>
  <c r="BD31" i="10" s="1"/>
  <c r="BO86" i="10"/>
  <c r="BO23" i="10"/>
  <c r="BO31" i="10" s="1"/>
  <c r="AM23" i="10"/>
  <c r="AM31" i="10" s="1"/>
  <c r="AM86" i="10"/>
  <c r="L150" i="10"/>
  <c r="AI23" i="10"/>
  <c r="AI31" i="10" s="1"/>
  <c r="AI86" i="10"/>
  <c r="AL23" i="10"/>
  <c r="AL31" i="10" s="1"/>
  <c r="AL86" i="10"/>
  <c r="AN23" i="10"/>
  <c r="AN31" i="10" s="1"/>
  <c r="AN86" i="10"/>
  <c r="AQ23" i="10"/>
  <c r="AQ31" i="10" s="1"/>
  <c r="AQ86" i="10"/>
  <c r="U150" i="10"/>
  <c r="AA76" i="10"/>
  <c r="AA23" i="10" s="1"/>
  <c r="AA31" i="10" s="1"/>
  <c r="BG23" i="10"/>
  <c r="BG31" i="10" s="1"/>
  <c r="BG86" i="10"/>
  <c r="Y88" i="10"/>
  <c r="Y92" i="10" s="1"/>
  <c r="Y107" i="10" s="1"/>
  <c r="BB23" i="10"/>
  <c r="BB31" i="10" s="1"/>
  <c r="BB86" i="10"/>
  <c r="AW86" i="10"/>
  <c r="AW23" i="10"/>
  <c r="AW31" i="10" s="1"/>
  <c r="AZ23" i="10"/>
  <c r="AZ31" i="10" s="1"/>
  <c r="AZ86" i="10"/>
  <c r="O92" i="10"/>
  <c r="O107" i="10" s="1"/>
  <c r="AT86" i="10"/>
  <c r="AT23" i="10"/>
  <c r="AT31" i="10" s="1"/>
  <c r="BP23" i="10"/>
  <c r="BP31" i="10" s="1"/>
  <c r="BP86" i="10"/>
  <c r="AK86" i="10"/>
  <c r="AK23" i="10"/>
  <c r="AK31" i="10" s="1"/>
  <c r="BC23" i="10"/>
  <c r="BC31" i="10" s="1"/>
  <c r="BC86" i="10"/>
  <c r="AP23" i="10"/>
  <c r="AP31" i="10" s="1"/>
  <c r="AP86" i="10"/>
  <c r="AV86" i="10"/>
  <c r="AV23" i="10"/>
  <c r="AV31" i="10" s="1"/>
  <c r="BS86" i="10"/>
  <c r="BS23" i="10"/>
  <c r="BS31" i="10" s="1"/>
  <c r="AX23" i="10"/>
  <c r="AX31" i="10" s="1"/>
  <c r="AX86" i="10"/>
  <c r="P88" i="10"/>
  <c r="L33" i="10"/>
  <c r="P33" i="10" s="1"/>
  <c r="AG88" i="10"/>
  <c r="AF88" i="10"/>
  <c r="AF92" i="10" s="1"/>
  <c r="AF107" i="10" s="1"/>
  <c r="AH88" i="10"/>
  <c r="U33" i="10"/>
  <c r="U37" i="10" s="1"/>
  <c r="U41" i="10" s="1"/>
  <c r="BI23" i="10"/>
  <c r="BI31" i="10" s="1"/>
  <c r="BI86" i="10"/>
  <c r="BJ23" i="10"/>
  <c r="BJ31" i="10" s="1"/>
  <c r="BJ86" i="10"/>
  <c r="BR86" i="10"/>
  <c r="BR23" i="10"/>
  <c r="BR31" i="10" s="1"/>
  <c r="BA23" i="10"/>
  <c r="BA31" i="10" s="1"/>
  <c r="BA86" i="10"/>
  <c r="BH86" i="10"/>
  <c r="BH23" i="10"/>
  <c r="BH31" i="10" s="1"/>
  <c r="L92" i="10"/>
  <c r="L107" i="10" s="1"/>
  <c r="AJ23" i="10"/>
  <c r="AJ31" i="10" s="1"/>
  <c r="AJ86" i="10"/>
  <c r="AU23" i="10"/>
  <c r="AU31" i="10" s="1"/>
  <c r="AU86" i="10"/>
  <c r="AO23" i="10"/>
  <c r="AO31" i="10" s="1"/>
  <c r="AO86" i="10"/>
  <c r="BK86" i="10"/>
  <c r="BK23" i="10"/>
  <c r="BK31" i="10" s="1"/>
  <c r="AY23" i="10"/>
  <c r="AY31" i="10" s="1"/>
  <c r="AY86" i="10"/>
  <c r="AR23" i="10"/>
  <c r="AR31" i="10" s="1"/>
  <c r="AR86" i="10"/>
  <c r="AS23" i="10"/>
  <c r="AS31" i="10" s="1"/>
  <c r="AS86" i="10"/>
  <c r="BF86" i="10"/>
  <c r="BF23" i="10"/>
  <c r="BF31" i="10" s="1"/>
  <c r="BM86" i="10"/>
  <c r="BM23" i="10"/>
  <c r="BM31" i="10" s="1"/>
  <c r="BL86" i="10"/>
  <c r="BL23" i="10"/>
  <c r="BL31" i="10" s="1"/>
  <c r="BE86" i="10"/>
  <c r="BE23" i="10"/>
  <c r="BE31" i="10" s="1"/>
  <c r="BQ23" i="10"/>
  <c r="BQ31" i="10" s="1"/>
  <c r="BQ86" i="10"/>
  <c r="BN86" i="10"/>
  <c r="BN23" i="10"/>
  <c r="BN31" i="10" s="1"/>
  <c r="AE31" i="10"/>
  <c r="O150" i="10"/>
  <c r="O37" i="10"/>
  <c r="O41" i="10" s="1"/>
  <c r="P150" i="10" l="1"/>
  <c r="D1" i="10" s="1"/>
  <c r="P37" i="10"/>
  <c r="P41" i="10" s="1"/>
  <c r="AH33" i="10"/>
  <c r="AH37" i="10" s="1"/>
  <c r="AH41" i="10" s="1"/>
  <c r="AH92" i="10"/>
  <c r="AH107" i="10" s="1"/>
  <c r="AE88" i="10"/>
  <c r="P92" i="10"/>
  <c r="P107" i="10" s="1"/>
  <c r="AF33" i="10"/>
  <c r="AF37" i="10" s="1"/>
  <c r="AF41" i="10" s="1"/>
  <c r="AG33" i="10"/>
  <c r="AG37" i="10" s="1"/>
  <c r="AG41" i="10" s="1"/>
  <c r="AG92" i="10"/>
  <c r="AG107" i="10" s="1"/>
  <c r="BJ92" i="10"/>
  <c r="BJ107" i="10" s="1"/>
  <c r="AP92" i="10"/>
  <c r="AP107" i="10" s="1"/>
  <c r="AA86" i="10" a="1"/>
  <c r="AA86" i="10" s="1"/>
  <c r="BQ88" i="10"/>
  <c r="BQ33" i="10" s="1"/>
  <c r="BQ37" i="10" s="1"/>
  <c r="BQ41" i="10" s="1"/>
  <c r="BI88" i="10"/>
  <c r="BI33" i="10" s="1"/>
  <c r="BI37" i="10" s="1"/>
  <c r="BI41" i="10" s="1"/>
  <c r="BA88" i="10"/>
  <c r="BA33" i="10" s="1"/>
  <c r="BA37" i="10" s="1"/>
  <c r="BA41" i="10" s="1"/>
  <c r="AS88" i="10"/>
  <c r="AS33" i="10" s="1"/>
  <c r="AS37" i="10" s="1"/>
  <c r="AS41" i="10" s="1"/>
  <c r="AK88" i="10"/>
  <c r="AK33" i="10" s="1"/>
  <c r="AK37" i="10" s="1"/>
  <c r="AK41" i="10" s="1"/>
  <c r="BO88" i="10"/>
  <c r="BO33" i="10" s="1"/>
  <c r="BO37" i="10" s="1"/>
  <c r="BO41" i="10" s="1"/>
  <c r="BG88" i="10"/>
  <c r="BG33" i="10" s="1"/>
  <c r="BG37" i="10" s="1"/>
  <c r="BG41" i="10" s="1"/>
  <c r="AY88" i="10"/>
  <c r="AY33" i="10" s="1"/>
  <c r="AY37" i="10" s="1"/>
  <c r="AY41" i="10" s="1"/>
  <c r="AQ88" i="10"/>
  <c r="AQ33" i="10" s="1"/>
  <c r="AQ37" i="10" s="1"/>
  <c r="AQ41" i="10" s="1"/>
  <c r="AI88" i="10"/>
  <c r="AI33" i="10" s="1"/>
  <c r="AI37" i="10" s="1"/>
  <c r="AI41" i="10" s="1"/>
  <c r="BS88" i="10"/>
  <c r="BS33" i="10" s="1"/>
  <c r="BS37" i="10" s="1"/>
  <c r="BS41" i="10" s="1"/>
  <c r="BK88" i="10"/>
  <c r="BK33" i="10" s="1"/>
  <c r="BK37" i="10" s="1"/>
  <c r="BK41" i="10" s="1"/>
  <c r="BC88" i="10"/>
  <c r="BC33" i="10" s="1"/>
  <c r="BC37" i="10" s="1"/>
  <c r="BC41" i="10" s="1"/>
  <c r="AU88" i="10"/>
  <c r="AU33" i="10" s="1"/>
  <c r="AU37" i="10" s="1"/>
  <c r="AU41" i="10" s="1"/>
  <c r="AM88" i="10"/>
  <c r="AM33" i="10" s="1"/>
  <c r="AM37" i="10" s="1"/>
  <c r="AM41" i="10" s="1"/>
  <c r="BF88" i="10"/>
  <c r="BF33" i="10" s="1"/>
  <c r="BF37" i="10" s="1"/>
  <c r="BF41" i="10" s="1"/>
  <c r="AT88" i="10"/>
  <c r="AT33" i="10" s="1"/>
  <c r="AT37" i="10" s="1"/>
  <c r="AT41" i="10" s="1"/>
  <c r="BR88" i="10"/>
  <c r="BR33" i="10" s="1"/>
  <c r="BR37" i="10" s="1"/>
  <c r="BR41" i="10" s="1"/>
  <c r="BE88" i="10"/>
  <c r="BE33" i="10" s="1"/>
  <c r="BE37" i="10" s="1"/>
  <c r="BE41" i="10" s="1"/>
  <c r="AR88" i="10"/>
  <c r="AR33" i="10" s="1"/>
  <c r="AR37" i="10" s="1"/>
  <c r="AR41" i="10" s="1"/>
  <c r="BP88" i="10"/>
  <c r="BP33" i="10" s="1"/>
  <c r="BP37" i="10" s="1"/>
  <c r="BP41" i="10" s="1"/>
  <c r="BD88" i="10"/>
  <c r="BD33" i="10" s="1"/>
  <c r="BD37" i="10" s="1"/>
  <c r="BD41" i="10" s="1"/>
  <c r="AP88" i="10"/>
  <c r="AP33" i="10" s="1"/>
  <c r="AP37" i="10" s="1"/>
  <c r="AP41" i="10" s="1"/>
  <c r="BH88" i="10"/>
  <c r="BH33" i="10" s="1"/>
  <c r="BH37" i="10" s="1"/>
  <c r="BH41" i="10" s="1"/>
  <c r="AV88" i="10"/>
  <c r="AV33" i="10" s="1"/>
  <c r="AV37" i="10" s="1"/>
  <c r="AV41" i="10" s="1"/>
  <c r="BN88" i="10"/>
  <c r="BN33" i="10" s="1"/>
  <c r="BN37" i="10" s="1"/>
  <c r="BN41" i="10" s="1"/>
  <c r="AO88" i="10"/>
  <c r="AO33" i="10" s="1"/>
  <c r="AO37" i="10" s="1"/>
  <c r="AO41" i="10" s="1"/>
  <c r="BM88" i="10"/>
  <c r="BM33" i="10" s="1"/>
  <c r="BM37" i="10" s="1"/>
  <c r="BM41" i="10" s="1"/>
  <c r="AN88" i="10"/>
  <c r="AN33" i="10" s="1"/>
  <c r="AN37" i="10" s="1"/>
  <c r="AN41" i="10" s="1"/>
  <c r="BL88" i="10"/>
  <c r="BL33" i="10" s="1"/>
  <c r="BL37" i="10" s="1"/>
  <c r="BL41" i="10" s="1"/>
  <c r="AL88" i="10"/>
  <c r="AL33" i="10" s="1"/>
  <c r="AL37" i="10" s="1"/>
  <c r="AL41" i="10" s="1"/>
  <c r="AW88" i="10"/>
  <c r="AW33" i="10" s="1"/>
  <c r="AW37" i="10" s="1"/>
  <c r="AW41" i="10" s="1"/>
  <c r="AJ88" i="10"/>
  <c r="AJ33" i="10" s="1"/>
  <c r="AJ37" i="10" s="1"/>
  <c r="AJ41" i="10" s="1"/>
  <c r="AX88" i="10"/>
  <c r="AX33" i="10" s="1"/>
  <c r="AX37" i="10" s="1"/>
  <c r="AX41" i="10" s="1"/>
  <c r="AZ88" i="10"/>
  <c r="AZ33" i="10" s="1"/>
  <c r="AZ37" i="10" s="1"/>
  <c r="AZ41" i="10" s="1"/>
  <c r="BJ88" i="10"/>
  <c r="BJ33" i="10" s="1"/>
  <c r="BJ37" i="10" s="1"/>
  <c r="BJ41" i="10" s="1"/>
  <c r="BB88" i="10"/>
  <c r="BB33" i="10" s="1"/>
  <c r="BB37" i="10" s="1"/>
  <c r="BB41" i="10" s="1"/>
  <c r="Y33" i="10"/>
  <c r="Y37" i="10" s="1"/>
  <c r="Y41" i="10" s="1"/>
  <c r="BG92" i="10"/>
  <c r="BG107" i="10" s="1"/>
  <c r="L37" i="10"/>
  <c r="L41" i="10" s="1"/>
  <c r="BO92" i="10"/>
  <c r="BO107" i="10" s="1"/>
  <c r="AU92" i="10" l="1"/>
  <c r="AU107" i="10" s="1"/>
  <c r="AQ92" i="10"/>
  <c r="AQ107" i="10" s="1"/>
  <c r="BR92" i="10"/>
  <c r="BR107" i="10" s="1"/>
  <c r="BQ92" i="10"/>
  <c r="BQ107" i="10" s="1"/>
  <c r="BK92" i="10"/>
  <c r="BK107" i="10" s="1"/>
  <c r="AJ92" i="10"/>
  <c r="AJ107" i="10" s="1"/>
  <c r="BF92" i="10"/>
  <c r="BF107" i="10" s="1"/>
  <c r="AX92" i="10"/>
  <c r="AX107" i="10" s="1"/>
  <c r="BL92" i="10"/>
  <c r="BL107" i="10" s="1"/>
  <c r="BA92" i="10"/>
  <c r="BA107" i="10" s="1"/>
  <c r="BC92" i="10"/>
  <c r="BC107" i="10" s="1"/>
  <c r="AZ92" i="10"/>
  <c r="AZ107" i="10" s="1"/>
  <c r="AN92" i="10"/>
  <c r="AN107" i="10" s="1"/>
  <c r="BS92" i="10"/>
  <c r="BS107" i="10" s="1"/>
  <c r="AM92" i="10"/>
  <c r="AM107" i="10" s="1"/>
  <c r="BN92" i="10"/>
  <c r="BN107" i="10" s="1"/>
  <c r="BI92" i="10"/>
  <c r="BI107" i="10" s="1"/>
  <c r="AA88" i="10" a="1"/>
  <c r="AA88" i="10" s="1"/>
  <c r="AA33" i="10" s="1"/>
  <c r="AA37" i="10" s="1"/>
  <c r="AA41" i="10" s="1"/>
  <c r="AV92" i="10"/>
  <c r="AV107" i="10" s="1"/>
  <c r="AI92" i="10"/>
  <c r="AI107" i="10" s="1"/>
  <c r="AT92" i="10"/>
  <c r="AT107" i="10" s="1"/>
  <c r="BB92" i="10"/>
  <c r="BB107" i="10" s="1"/>
  <c r="BH92" i="10"/>
  <c r="BH107" i="10" s="1"/>
  <c r="AW92" i="10"/>
  <c r="AW107" i="10" s="1"/>
  <c r="AO92" i="10"/>
  <c r="AO107" i="10" s="1"/>
  <c r="AL92" i="10"/>
  <c r="AL107" i="10" s="1"/>
  <c r="AK92" i="10"/>
  <c r="AK107" i="10" s="1"/>
  <c r="AR92" i="10"/>
  <c r="AR107" i="10" s="1"/>
  <c r="BE92" i="10"/>
  <c r="BE107" i="10" s="1"/>
  <c r="AS92" i="10"/>
  <c r="AS107" i="10" s="1"/>
  <c r="BM92" i="10"/>
  <c r="BM107" i="10" s="1"/>
  <c r="BP92" i="10"/>
  <c r="BP107" i="10" s="1"/>
  <c r="AY92" i="10"/>
  <c r="AY107" i="10" s="1"/>
  <c r="AE33" i="10"/>
  <c r="AE37" i="10" s="1"/>
  <c r="AE41" i="10" s="1"/>
  <c r="AE92" i="10"/>
  <c r="AE107" i="10" s="1"/>
  <c r="BD92" i="10"/>
  <c r="BD107" i="10" s="1"/>
  <c r="AA92" i="10" l="1"/>
  <c r="AA107"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Harry Lopes</author>
  </authors>
  <commentList>
    <comment ref="K62" authorId="0" shapeId="0" xr:uid="{00000000-0006-0000-0900-000001000000}">
      <text>
        <r>
          <rPr>
            <sz val="10"/>
            <color rgb="FF000000"/>
            <rFont val="Arial"/>
          </rPr>
          <t xml:space="preserve">Planting density 400/ha
</t>
        </r>
        <r>
          <rPr>
            <sz val="10"/>
            <color rgb="FF000000"/>
            <rFont val="Arial"/>
          </rPr>
          <t>Good orchard tree £90/tree currently</t>
        </r>
      </text>
    </comment>
    <comment ref="X62" authorId="0" shapeId="0" xr:uid="{00000000-0006-0000-0900-000002000000}">
      <text>
        <r>
          <rPr>
            <sz val="10"/>
            <color rgb="FF000000"/>
            <rFont val="Arial"/>
          </rPr>
          <t xml:space="preserve">£20? per tree pruning
</t>
        </r>
        <r>
          <rPr>
            <sz val="10"/>
            <color rgb="FF000000"/>
            <rFont val="Arial"/>
          </rPr>
          <t>Every 5th year</t>
        </r>
      </text>
    </comment>
    <comment ref="K65" authorId="0" shapeId="0" xr:uid="{00000000-0006-0000-0900-000003000000}">
      <text>
        <r>
          <rPr>
            <sz val="10"/>
            <color rgb="FF000000"/>
            <rFont val="Arial"/>
            <scheme val="minor"/>
          </rPr>
          <t>£1.4k/ha at scale for all excl labour</t>
        </r>
      </text>
    </comment>
    <comment ref="N65" authorId="0" shapeId="0" xr:uid="{00000000-0006-0000-0900-000004000000}">
      <text>
        <r>
          <rPr>
            <sz val="10"/>
            <color rgb="FF000000"/>
            <rFont val="Arial"/>
          </rPr>
          <t>increased dramatically as not at scale</t>
        </r>
      </text>
    </comment>
    <comment ref="Y65" authorId="0" shapeId="0" xr:uid="{00000000-0006-0000-0900-000005000000}">
      <text>
        <r>
          <rPr>
            <sz val="10"/>
            <color rgb="FF000000"/>
            <rFont val="Arial"/>
          </rPr>
          <t>One-off cost of removing in ~Y5</t>
        </r>
      </text>
    </comment>
    <comment ref="Y82" authorId="0" shapeId="0" xr:uid="{00000000-0006-0000-0900-000006000000}">
      <text>
        <r>
          <rPr>
            <sz val="10"/>
            <color rgb="FF000000"/>
            <rFont val="Arial"/>
            <scheme val="minor"/>
          </rPr>
          <t>One-off cost of removing</t>
        </r>
      </text>
    </comment>
    <comment ref="AC99" authorId="0" shapeId="0" xr:uid="{00000000-0006-0000-0900-000007000000}">
      <text>
        <r>
          <rPr>
            <sz val="10"/>
            <color rgb="FF000000"/>
            <rFont val="Arial"/>
            <scheme val="minor"/>
          </rPr>
          <t>£1,750 is the basic cost for a 5MW site
2.5 times assumed to ensure site has enough person-time to complete the job</t>
        </r>
      </text>
    </comment>
    <comment ref="D100" authorId="0" shapeId="0" xr:uid="{00000000-0006-0000-0900-000008000000}">
      <text>
        <r>
          <rPr>
            <sz val="10"/>
            <color rgb="FF000000"/>
            <rFont val="Arial"/>
            <family val="2"/>
          </rPr>
          <t>Off-year monitoring estimated at £900</t>
        </r>
      </text>
    </comment>
    <comment ref="U100" authorId="0" shapeId="0" xr:uid="{00000000-0006-0000-0900-000009000000}">
      <text>
        <r>
          <rPr>
            <sz val="10"/>
            <color rgb="FF000000"/>
            <rFont val="Arial"/>
          </rPr>
          <t xml:space="preserve">£1,750 is the basic cost for a 5MW site
</t>
        </r>
        <r>
          <rPr>
            <sz val="10"/>
            <color rgb="FF000000"/>
            <rFont val="Arial"/>
          </rPr>
          <t xml:space="preserve">
</t>
        </r>
        <r>
          <rPr>
            <sz val="10"/>
            <color rgb="FF000000"/>
            <rFont val="Arial"/>
          </rPr>
          <t>2.5 times assumed to ensure site has enough person-time to complete the job</t>
        </r>
      </text>
    </comment>
    <comment ref="D102" authorId="1" shapeId="0" xr:uid="{054DDF08-B419-5043-BE99-D68BA37F2164}">
      <text>
        <r>
          <rPr>
            <sz val="10"/>
            <color rgb="FF000000"/>
            <rFont val="Tahoma"/>
            <family val="2"/>
          </rPr>
          <t xml:space="preserve">4 days per year in yr 0-3 @ £450/day
</t>
        </r>
        <r>
          <rPr>
            <sz val="10"/>
            <color rgb="FF000000"/>
            <rFont val="Tahoma"/>
            <family val="2"/>
          </rPr>
          <t xml:space="preserve">
</t>
        </r>
        <r>
          <rPr>
            <sz val="10"/>
            <color rgb="FF000000"/>
            <rFont val="Tahoma"/>
            <family val="2"/>
          </rPr>
          <t xml:space="preserve">2 days per year in subsequent years @450/day
</t>
        </r>
        <r>
          <rPr>
            <sz val="10"/>
            <color rgb="FF000000"/>
            <rFont val="Tahoma"/>
            <family val="2"/>
          </rPr>
          <t xml:space="preserve">
</t>
        </r>
      </text>
    </comment>
  </commentList>
</comments>
</file>

<file path=xl/sharedStrings.xml><?xml version="1.0" encoding="utf-8"?>
<sst xmlns="http://schemas.openxmlformats.org/spreadsheetml/2006/main" count="494" uniqueCount="191">
  <si>
    <t>Disclaimer</t>
  </si>
  <si>
    <t>Cell Input Key</t>
  </si>
  <si>
    <t>Keep blank</t>
  </si>
  <si>
    <t>Contains a formula (Do NOT Edit) - applies only to numeric cells in the detailed view</t>
  </si>
  <si>
    <t>Input unit/cost here</t>
  </si>
  <si>
    <t>Cell D1 - Reconciliation Checker (for Summary and Detailed Table)</t>
  </si>
  <si>
    <t>Ballpark estimates - can be edited</t>
  </si>
  <si>
    <t>*Summary sheet fills up automatically. Do not make edits here</t>
  </si>
  <si>
    <t>Habitat type (do not enter values here, should be sum of inputs from table below)</t>
  </si>
  <si>
    <t>Product</t>
  </si>
  <si>
    <t>Implementation</t>
  </si>
  <si>
    <t>I+P</t>
  </si>
  <si>
    <t>Management in years 1-3</t>
  </si>
  <si>
    <t>Management costs (annual thereafter)</t>
  </si>
  <si>
    <t>Habitat</t>
  </si>
  <si>
    <t>Type</t>
  </si>
  <si>
    <t>Description</t>
  </si>
  <si>
    <t>Location</t>
  </si>
  <si>
    <t>Area (Ha)</t>
  </si>
  <si>
    <t>Length (km)</t>
  </si>
  <si>
    <t>No. of units</t>
  </si>
  <si>
    <t>Supplier</t>
  </si>
  <si>
    <t>Cost per Ha / km / unit</t>
  </si>
  <si>
    <t>Product cost</t>
  </si>
  <si>
    <t>Implement Cost</t>
  </si>
  <si>
    <t>Total Product + Implement Cost</t>
  </si>
  <si>
    <t>Timing</t>
  </si>
  <si>
    <t>Activity</t>
  </si>
  <si>
    <t>Activities no. p.a.</t>
  </si>
  <si>
    <t>Cost</t>
  </si>
  <si>
    <t>NPV</t>
  </si>
  <si>
    <t>Category names for formulae</t>
  </si>
  <si>
    <t>SUMMARY OUTPUT TABLE</t>
  </si>
  <si>
    <t>Grassland / Sward / Seed mixes</t>
  </si>
  <si>
    <t>Grazing pasture</t>
  </si>
  <si>
    <t>Woody plants, scrub &amp; screening plants</t>
  </si>
  <si>
    <t>Soils</t>
  </si>
  <si>
    <t>xxx</t>
  </si>
  <si>
    <t>Wetland features / Ponds &amp; scrapes</t>
  </si>
  <si>
    <t>Animal and insect habitat creation</t>
  </si>
  <si>
    <t>Hibernacula</t>
  </si>
  <si>
    <t>Wood piles</t>
  </si>
  <si>
    <t>Bird boxes</t>
  </si>
  <si>
    <t>Bat boxes</t>
  </si>
  <si>
    <t>Bee hives</t>
  </si>
  <si>
    <t>Solitary bee hotels</t>
  </si>
  <si>
    <t>Beetle bank</t>
  </si>
  <si>
    <t>One off / uncategorised</t>
  </si>
  <si>
    <t>Screening hurdles</t>
  </si>
  <si>
    <t>Animal camera traps, fixed point photography stations</t>
  </si>
  <si>
    <t>Total</t>
  </si>
  <si>
    <t>Implementation total</t>
  </si>
  <si>
    <t>Ist year subtotal</t>
  </si>
  <si>
    <t>*</t>
  </si>
  <si>
    <t>DETAILED INPUT TABLE</t>
  </si>
  <si>
    <t>Sow local wild flower seed (brush harvested or green hay)</t>
  </si>
  <si>
    <t>All arable land</t>
  </si>
  <si>
    <t>EM3 or equivalent</t>
  </si>
  <si>
    <t>Commercial supplier</t>
  </si>
  <si>
    <t>Twice cultivation, sowing, rolling</t>
  </si>
  <si>
    <t>Hay cut</t>
  </si>
  <si>
    <t>Wild Bird Seed mixes</t>
  </si>
  <si>
    <t>Heathland / heather</t>
  </si>
  <si>
    <t>Tussock grassland</t>
  </si>
  <si>
    <t>EM10 or equivalent</t>
  </si>
  <si>
    <t>Scrub</t>
  </si>
  <si>
    <t>Mixed native scrub field maple, hazel, hawthorn, spindle, goat willow and crack/white willow.</t>
  </si>
  <si>
    <t>Various locations</t>
  </si>
  <si>
    <t>Mixed species</t>
  </si>
  <si>
    <t>TBC</t>
  </si>
  <si>
    <t>Slot planting, mulching</t>
  </si>
  <si>
    <t>November</t>
  </si>
  <si>
    <t xml:space="preserve">Check for die-off and replace any diseased / dead whips </t>
  </si>
  <si>
    <t xml:space="preserve">Trim with a flail </t>
  </si>
  <si>
    <t>Trim scrub areas with a flail at the same time as hedging</t>
  </si>
  <si>
    <t>Mixed native scrub field maple, hazel, hawthorn, spindle, honeysuckle, elderberry and wayfaring tree.</t>
  </si>
  <si>
    <t>Scrub plantings of attractive shrubs including spindle, hazel, field maple and hawthorn in small clumps.</t>
  </si>
  <si>
    <t>Mixed Species</t>
  </si>
  <si>
    <t>Orchard</t>
  </si>
  <si>
    <t>Mix hedgerow</t>
  </si>
  <si>
    <t>Extra: double row of willow and alder 50cm apart along hazel fence hurdles</t>
  </si>
  <si>
    <t>Mixed Species (3)</t>
  </si>
  <si>
    <t>Miscanthus as a temporary screening crop</t>
  </si>
  <si>
    <t>Temporary Screening Crop</t>
  </si>
  <si>
    <t xml:space="preserve">None </t>
  </si>
  <si>
    <t xml:space="preserve">Removal in year 5? </t>
  </si>
  <si>
    <t>Willow and alder as a permanent screening "hedge"</t>
  </si>
  <si>
    <t>Trees</t>
  </si>
  <si>
    <t>Selected locations along the hedgrow shown in plan. Each tree is staked and strapped</t>
  </si>
  <si>
    <t>5 species</t>
  </si>
  <si>
    <t>TBD</t>
  </si>
  <si>
    <t xml:space="preserve">Check for die-off and replace any diseased / dead trees </t>
  </si>
  <si>
    <t>Decompact compacted areas</t>
  </si>
  <si>
    <t>Fully included within EPC scope normally.</t>
  </si>
  <si>
    <t>Ponds</t>
  </si>
  <si>
    <t>September - October</t>
  </si>
  <si>
    <t>Weed pulling around pond</t>
  </si>
  <si>
    <t>Extend 2 x ponds by 50m2 each.</t>
  </si>
  <si>
    <t>Scrapes</t>
  </si>
  <si>
    <t>Excavation of scrape 50m2, 0.25-0.75m deep</t>
  </si>
  <si>
    <t>Western boundary</t>
  </si>
  <si>
    <t>Weed pulling around scrape</t>
  </si>
  <si>
    <t>Replacement of nesting and roosting structures after five years</t>
  </si>
  <si>
    <t>Use excavations from pond enlargement to make banks 2m wide and up to 1m high</t>
  </si>
  <si>
    <t>Next to enlarged ponds along southern boundary</t>
  </si>
  <si>
    <t>2m high hazel fence hurdles</t>
  </si>
  <si>
    <t>Screening crop</t>
  </si>
  <si>
    <t>Product total</t>
  </si>
  <si>
    <t>Suppliers</t>
  </si>
  <si>
    <t>Reconciliation checks</t>
  </si>
  <si>
    <t>Arable weed/plant area</t>
  </si>
  <si>
    <t>Wildflower &amp; fine grass seeding</t>
  </si>
  <si>
    <t>25m2, varying depths (0.25-1.2m), lined with puddling clay. Plant wetland herbs (e.g. purple loosestrife, flag iris)</t>
  </si>
  <si>
    <t>Removal</t>
  </si>
  <si>
    <t>Last updated</t>
  </si>
  <si>
    <t>Project Cash flows</t>
  </si>
  <si>
    <t>Category names for formulae (2)</t>
  </si>
  <si>
    <t>-</t>
  </si>
  <si>
    <t>Landscaping and Biodiversity</t>
  </si>
  <si>
    <t>Topping, Mulching mower</t>
  </si>
  <si>
    <t>Assume not collecting until can cost it properly</t>
  </si>
  <si>
    <t>Deeper rooted with plantains etc</t>
  </si>
  <si>
    <t>Assume cost neutral through grazing</t>
  </si>
  <si>
    <t>Good for targeted species and small sites</t>
  </si>
  <si>
    <t>Resow annually</t>
  </si>
  <si>
    <t>Scrape area to bare soil each year then spot spray any injurious weeds.</t>
  </si>
  <si>
    <t>Transplant plugs</t>
  </si>
  <si>
    <t>20% replanting budget</t>
  </si>
  <si>
    <t>No replanting beyond year 3; if hasn't taken by then may never do.</t>
  </si>
  <si>
    <t>Topping, mulching mower</t>
  </si>
  <si>
    <t>Light prune in year 4 or 5 then every 5 years thereafter. Volunteers can prune more if desired.</t>
  </si>
  <si>
    <t>Hedgerows</t>
  </si>
  <si>
    <t>Copse</t>
  </si>
  <si>
    <t>Hedge trees: 5 species, branched, 10-12cm girth</t>
  </si>
  <si>
    <t>Clear 50% of vegetation from pond every 3 years using a small excavator</t>
  </si>
  <si>
    <t>Swale planting</t>
  </si>
  <si>
    <t>Wetland plants</t>
  </si>
  <si>
    <t>Use on site materials</t>
  </si>
  <si>
    <t>Minor machine time</t>
  </si>
  <si>
    <t>Bee hives [Neutral Cost: Brought in by beekeepers]</t>
  </si>
  <si>
    <t>Freedom log hives</t>
  </si>
  <si>
    <t>Public engagement</t>
  </si>
  <si>
    <t>Visual engagement</t>
  </si>
  <si>
    <t>Interpretation board</t>
  </si>
  <si>
    <t>General Provisions</t>
  </si>
  <si>
    <t>Monitoring and Evaluation</t>
  </si>
  <si>
    <t>Baseline survey</t>
  </si>
  <si>
    <t>Bird, botanical, invertebrate, soil, and grassland monitoring; woody planting, bird box inspection
Usually occurs 1-2 years before implementation of project</t>
  </si>
  <si>
    <t>April - July</t>
  </si>
  <si>
    <t>2-3 surveys between April to July; and site monitoring</t>
  </si>
  <si>
    <t>Breeding bird survey, botanical, invertebrate, woody plants, soil, grassland monitoring, bird box inspection
Main years and off years monitoring</t>
  </si>
  <si>
    <t>Coordination and implementaion supervision</t>
  </si>
  <si>
    <t>Total Implementation and Maintenance Expenses</t>
  </si>
  <si>
    <t>1st year subtotal</t>
  </si>
  <si>
    <t>Grants</t>
  </si>
  <si>
    <t>Reductions</t>
  </si>
  <si>
    <t>Project Summary</t>
  </si>
  <si>
    <t>Project &gt;&gt;&gt;</t>
  </si>
  <si>
    <t>&gt;&gt;&gt;</t>
  </si>
  <si>
    <t>Country</t>
  </si>
  <si>
    <t>UK</t>
  </si>
  <si>
    <t>Generation Output (kWp)</t>
  </si>
  <si>
    <t>Annual Energy Generated (kWh)</t>
  </si>
  <si>
    <t>General Assumptions</t>
  </si>
  <si>
    <t>Discount Rate</t>
  </si>
  <si>
    <t>Inflation</t>
  </si>
  <si>
    <t>Landscaping and Biodiversity Cost Model</t>
  </si>
  <si>
    <t>Twice cultivation, sowing, rolling, Split over a few years to minimise risk.</t>
  </si>
  <si>
    <t>Collect arisings (costings calc outstanding)</t>
  </si>
  <si>
    <t>Leave some bare areas for eg Fumitory, Speedwells, Forget-me-nots, etc to come through.</t>
  </si>
  <si>
    <t>Along main road boundary</t>
  </si>
  <si>
    <t>Screening: Western corner</t>
  </si>
  <si>
    <t>Native hedgerow mix (6 species: field maple, hazel, hawthorn, spindle, honeysuckle, crab apple, blackthorn, oak, goat willow, white willow and wayfaring tree) planted in triple staggered rows, 500mm apart at 450mm centres</t>
  </si>
  <si>
    <t>Western corner</t>
  </si>
  <si>
    <t>Along southern boundary</t>
  </si>
  <si>
    <t>2 locations along western boundary (costs provided by landowner)</t>
  </si>
  <si>
    <t>Along southern boundary (costs provided by landowner)</t>
  </si>
  <si>
    <t>Westerncorner and along southern boundary</t>
  </si>
  <si>
    <t>2-3 surveys between April to July (2 years before project start)</t>
  </si>
  <si>
    <t>Annual monitoring</t>
  </si>
  <si>
    <t>[Lead ecologist] complete Biodiversity Scorecard</t>
  </si>
  <si>
    <t>[Lead ecologist] oversight</t>
  </si>
  <si>
    <t>Grants/Reductions</t>
  </si>
  <si>
    <t>Xxxx Xxxx</t>
  </si>
  <si>
    <t>49950</t>
  </si>
  <si>
    <t>yyy</t>
  </si>
  <si>
    <t>zzz</t>
  </si>
  <si>
    <t xml:space="preserve">This model is for illustrative purposes only. Users must not place any reliance on its contents. Neither Eden Renewables nor Wychwood Biodiversity take any responsiblity for its contents or workings. Users must insert their own pricing obtained from suppliers and make their own calculations.
Any corrections or suggestions for improvements please email info@edenrenewables.com.
</t>
  </si>
  <si>
    <t>Part of EPC budget for seeding &amp; landscaping</t>
  </si>
  <si>
    <t>Seeds provided under CSR (US)</t>
  </si>
  <si>
    <t>Coordinating contractors and ensuring the management plan is being followed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</si>
</sst>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_(* \(#,##0.00\);_(* &quot;-&quot;??_);_(@_)"/>
    <numFmt numFmtId="164" formatCode="[$£]#,##0.00"/>
    <numFmt numFmtId="165" formatCode="[$£]#,##0"/>
    <numFmt numFmtId="166" formatCode="0.0"/>
    <numFmt numFmtId="167" formatCode="#,##0.0"/>
    <numFmt numFmtId="168" formatCode="\£#,##0"/>
    <numFmt numFmtId="169" formatCode="0.000"/>
    <numFmt numFmtId="170" formatCode="0.0%"/>
    <numFmt numFmtId="171" formatCode="#,##0.000"/>
    <numFmt numFmtId="172" formatCode="[$COD: ]###0"/>
    <numFmt numFmtId="173" formatCode="d&quot;/&quot;mmm&quot;/&quot;yy"/>
  </numFmts>
  <fonts count="27" x14ac:knownFonts="1">
    <font>
      <sz val="10"/>
      <color rgb="FF000000"/>
      <name val="Arial"/>
      <scheme val="minor"/>
    </font>
    <font>
      <sz val="10"/>
      <color theme="1"/>
      <name val="Arial"/>
      <scheme val="minor"/>
    </font>
    <font>
      <sz val="10"/>
      <name val="Arial"/>
    </font>
    <font>
      <sz val="11"/>
      <color theme="1"/>
      <name val="Calibri"/>
    </font>
    <font>
      <sz val="11"/>
      <color rgb="FF999999"/>
      <name val="Calibri"/>
    </font>
    <font>
      <b/>
      <sz val="11"/>
      <color theme="1"/>
      <name val="Calibri"/>
    </font>
    <font>
      <b/>
      <sz val="11"/>
      <color rgb="FFFFFFFF"/>
      <name val="Calibri"/>
    </font>
    <font>
      <sz val="11"/>
      <color theme="1"/>
      <name val="Arial"/>
      <scheme val="minor"/>
    </font>
    <font>
      <i/>
      <sz val="11"/>
      <color rgb="FFCCCCCC"/>
      <name val="Calibri"/>
    </font>
    <font>
      <i/>
      <sz val="11"/>
      <color rgb="FFFFFFFF"/>
      <name val="Calibri"/>
    </font>
    <font>
      <i/>
      <sz val="11"/>
      <color theme="1"/>
      <name val="Calibri"/>
    </font>
    <font>
      <i/>
      <sz val="11"/>
      <color rgb="FF0000FF"/>
      <name val="Calibri"/>
    </font>
    <font>
      <sz val="11"/>
      <color rgb="FFCC0000"/>
      <name val="Calibri"/>
    </font>
    <font>
      <i/>
      <sz val="11"/>
      <color rgb="FFCC0000"/>
      <name val="Calibri"/>
    </font>
    <font>
      <b/>
      <i/>
      <sz val="11"/>
      <color theme="1"/>
      <name val="Calibri"/>
    </font>
    <font>
      <sz val="11"/>
      <color rgb="FFFFFFFF"/>
      <name val="Calibri"/>
    </font>
    <font>
      <b/>
      <sz val="11"/>
      <color rgb="FF000000"/>
      <name val="Calibri"/>
    </font>
    <font>
      <i/>
      <sz val="11"/>
      <color rgb="FF000000"/>
      <name val="Calibri"/>
    </font>
    <font>
      <sz val="11"/>
      <color rgb="FF000000"/>
      <name val="Calibri"/>
    </font>
    <font>
      <sz val="11"/>
      <color rgb="FFFF0000"/>
      <name val="Calibri"/>
    </font>
    <font>
      <b/>
      <sz val="9"/>
      <color theme="1"/>
      <name val="Helvetica"/>
    </font>
    <font>
      <b/>
      <sz val="11"/>
      <color rgb="FFCCCCCC"/>
      <name val="Calibri"/>
    </font>
    <font>
      <i/>
      <sz val="11"/>
      <color rgb="FFF3F3F3"/>
      <name val="Calibri"/>
    </font>
    <font>
      <sz val="10"/>
      <color rgb="FF000000"/>
      <name val="Arial"/>
    </font>
    <font>
      <sz val="10"/>
      <color rgb="FF000000"/>
      <name val="Arial"/>
      <family val="2"/>
    </font>
    <font>
      <sz val="11"/>
      <color theme="1"/>
      <name val="Calibri"/>
      <family val="2"/>
    </font>
    <font>
      <sz val="10"/>
      <color rgb="FF000000"/>
      <name val="Tahoma"/>
      <family val="2"/>
    </font>
  </fonts>
  <fills count="14">
    <fill>
      <patternFill patternType="none"/>
    </fill>
    <fill>
      <patternFill patternType="gray125"/>
    </fill>
    <fill>
      <patternFill patternType="solid">
        <fgColor rgb="FFEFEFEF"/>
        <bgColor rgb="FFEFEFEF"/>
      </patternFill>
    </fill>
    <fill>
      <patternFill patternType="solid">
        <fgColor rgb="FFFFFFFF"/>
        <bgColor rgb="FFFFFFFF"/>
      </patternFill>
    </fill>
    <fill>
      <patternFill patternType="solid">
        <fgColor rgb="FFFEFFE2"/>
        <bgColor rgb="FFFEFFE2"/>
      </patternFill>
    </fill>
    <fill>
      <patternFill patternType="solid">
        <fgColor rgb="FFB7E1CD"/>
        <bgColor rgb="FFB7E1CD"/>
      </patternFill>
    </fill>
    <fill>
      <patternFill patternType="solid">
        <fgColor rgb="FFFCE5CD"/>
        <bgColor rgb="FFFCE5CD"/>
      </patternFill>
    </fill>
    <fill>
      <patternFill patternType="solid">
        <fgColor rgb="FFF3F3F3"/>
        <bgColor rgb="FFF3F3F3"/>
      </patternFill>
    </fill>
    <fill>
      <patternFill patternType="solid">
        <fgColor rgb="FFCCCCCC"/>
        <bgColor rgb="FFCCCCCC"/>
      </patternFill>
    </fill>
    <fill>
      <patternFill patternType="solid">
        <fgColor theme="0"/>
        <bgColor theme="0"/>
      </patternFill>
    </fill>
    <fill>
      <patternFill patternType="solid">
        <fgColor rgb="FFF4FCF2"/>
        <bgColor rgb="FFF4FCF2"/>
      </patternFill>
    </fill>
    <fill>
      <patternFill patternType="solid">
        <fgColor rgb="FFEDF9E8"/>
        <bgColor rgb="FFEDF9E8"/>
      </patternFill>
    </fill>
    <fill>
      <patternFill patternType="solid">
        <fgColor rgb="FFD9D9D9"/>
        <bgColor rgb="FFD9D9D9"/>
      </patternFill>
    </fill>
    <fill>
      <patternFill patternType="solid">
        <fgColor rgb="FFB6D7A8"/>
        <bgColor rgb="FFB6D7A8"/>
      </patternFill>
    </fill>
  </fills>
  <borders count="187">
    <border>
      <left/>
      <right/>
      <top/>
      <bottom/>
      <diagonal/>
    </border>
    <border>
      <left style="thin">
        <color rgb="FFCCCCCC"/>
      </left>
      <right/>
      <top style="thin">
        <color rgb="FFCCCCCC"/>
      </top>
      <bottom/>
      <diagonal/>
    </border>
    <border>
      <left/>
      <right/>
      <top style="thin">
        <color rgb="FFCCCCCC"/>
      </top>
      <bottom/>
      <diagonal/>
    </border>
    <border>
      <left/>
      <right style="thin">
        <color rgb="FFCCCCCC"/>
      </right>
      <top style="thin">
        <color rgb="FFCCCCCC"/>
      </top>
      <bottom/>
      <diagonal/>
    </border>
    <border>
      <left style="thin">
        <color rgb="FFCCCCCC"/>
      </left>
      <right/>
      <top/>
      <bottom/>
      <diagonal/>
    </border>
    <border>
      <left/>
      <right style="thin">
        <color rgb="FFCCCCCC"/>
      </right>
      <top/>
      <bottom/>
      <diagonal/>
    </border>
    <border>
      <left style="thin">
        <color rgb="FFCCCCCC"/>
      </left>
      <right/>
      <top/>
      <bottom style="thin">
        <color rgb="FFCCCCCC"/>
      </bottom>
      <diagonal/>
    </border>
    <border>
      <left/>
      <right/>
      <top/>
      <bottom style="thin">
        <color rgb="FFCCCCCC"/>
      </bottom>
      <diagonal/>
    </border>
    <border>
      <left/>
      <right style="thin">
        <color rgb="FFCCCCCC"/>
      </right>
      <top/>
      <bottom style="thin">
        <color rgb="FFCCCCCC"/>
      </bottom>
      <diagonal/>
    </border>
    <border>
      <left style="thin">
        <color rgb="FFCCCCCC"/>
      </left>
      <right style="thin">
        <color rgb="FFCCCCCC"/>
      </right>
      <top style="thin">
        <color rgb="FFCCCCCC"/>
      </top>
      <bottom style="thin">
        <color rgb="FFCCCCCC"/>
      </bottom>
      <diagonal/>
    </border>
    <border>
      <left/>
      <right/>
      <top/>
      <bottom/>
      <diagonal/>
    </border>
    <border>
      <left/>
      <right/>
      <top style="thick">
        <color rgb="FF000000"/>
      </top>
      <bottom style="thick">
        <color rgb="FF434343"/>
      </bottom>
      <diagonal/>
    </border>
    <border>
      <left style="medium">
        <color rgb="FF434343"/>
      </left>
      <right/>
      <top style="thick">
        <color rgb="FF000000"/>
      </top>
      <bottom style="thick">
        <color rgb="FF434343"/>
      </bottom>
      <diagonal/>
    </border>
    <border>
      <left/>
      <right style="medium">
        <color rgb="FF434343"/>
      </right>
      <top style="thick">
        <color rgb="FF000000"/>
      </top>
      <bottom style="thick">
        <color rgb="FF434343"/>
      </bottom>
      <diagonal/>
    </border>
    <border>
      <left/>
      <right style="thick">
        <color rgb="FF434343"/>
      </right>
      <top style="thick">
        <color rgb="FF000000"/>
      </top>
      <bottom style="thick">
        <color rgb="FF434343"/>
      </bottom>
      <diagonal/>
    </border>
    <border>
      <left/>
      <right style="thick">
        <color rgb="FF000000"/>
      </right>
      <top style="thick">
        <color rgb="FF000000"/>
      </top>
      <bottom style="thick">
        <color rgb="FF434343"/>
      </bottom>
      <diagonal/>
    </border>
    <border>
      <left style="medium">
        <color rgb="FF434343"/>
      </left>
      <right style="medium">
        <color rgb="FF434343"/>
      </right>
      <top style="thick">
        <color rgb="FF434343"/>
      </top>
      <bottom style="thick">
        <color rgb="FF434343"/>
      </bottom>
      <diagonal/>
    </border>
    <border>
      <left/>
      <right/>
      <top style="thick">
        <color rgb="FF434343"/>
      </top>
      <bottom style="thick">
        <color rgb="FF434343"/>
      </bottom>
      <diagonal/>
    </border>
    <border>
      <left style="medium">
        <color rgb="FF434343"/>
      </left>
      <right/>
      <top style="thick">
        <color rgb="FF434343"/>
      </top>
      <bottom style="thick">
        <color rgb="FF434343"/>
      </bottom>
      <diagonal/>
    </border>
    <border>
      <left/>
      <right style="medium">
        <color rgb="FF434343"/>
      </right>
      <top style="thick">
        <color rgb="FF434343"/>
      </top>
      <bottom style="thick">
        <color rgb="FF434343"/>
      </bottom>
      <diagonal/>
    </border>
    <border>
      <left/>
      <right/>
      <top/>
      <bottom style="thick">
        <color rgb="FF434343"/>
      </bottom>
      <diagonal/>
    </border>
    <border>
      <left style="thick">
        <color rgb="FF000000"/>
      </left>
      <right/>
      <top style="thick">
        <color rgb="FF434343"/>
      </top>
      <bottom/>
      <diagonal/>
    </border>
    <border>
      <left style="medium">
        <color rgb="FF434343"/>
      </left>
      <right style="medium">
        <color rgb="FF434343"/>
      </right>
      <top style="medium">
        <color rgb="FF434343"/>
      </top>
      <bottom style="thin">
        <color rgb="FFCCCCCC"/>
      </bottom>
      <diagonal/>
    </border>
    <border>
      <left/>
      <right style="thin">
        <color rgb="FFCCCCCC"/>
      </right>
      <top style="thick">
        <color rgb="FF434343"/>
      </top>
      <bottom style="thin">
        <color rgb="FFCCCCCC"/>
      </bottom>
      <diagonal/>
    </border>
    <border>
      <left style="thin">
        <color rgb="FFCCCCCC"/>
      </left>
      <right style="thin">
        <color rgb="FFCCCCCC"/>
      </right>
      <top style="thick">
        <color rgb="FF434343"/>
      </top>
      <bottom style="thin">
        <color rgb="FFCCCCCC"/>
      </bottom>
      <diagonal/>
    </border>
    <border>
      <left style="thin">
        <color rgb="FFCCCCCC"/>
      </left>
      <right style="medium">
        <color rgb="FF434343"/>
      </right>
      <top style="thick">
        <color rgb="FF434343"/>
      </top>
      <bottom style="thin">
        <color rgb="FFCCCCCC"/>
      </bottom>
      <diagonal/>
    </border>
    <border>
      <left style="thin">
        <color rgb="FFCCCCCC"/>
      </left>
      <right style="thick">
        <color rgb="FF000000"/>
      </right>
      <top style="thick">
        <color rgb="FF434343"/>
      </top>
      <bottom style="thin">
        <color rgb="FFCCCCCC"/>
      </bottom>
      <diagonal/>
    </border>
    <border>
      <left style="thick">
        <color rgb="FF000000"/>
      </left>
      <right/>
      <top/>
      <bottom/>
      <diagonal/>
    </border>
    <border>
      <left style="medium">
        <color rgb="FF434343"/>
      </left>
      <right style="medium">
        <color rgb="FF434343"/>
      </right>
      <top/>
      <bottom style="thin">
        <color rgb="FFCCCCCC"/>
      </bottom>
      <diagonal/>
    </border>
    <border>
      <left style="thin">
        <color rgb="FFCCCCCC"/>
      </left>
      <right style="medium">
        <color rgb="FF434343"/>
      </right>
      <top style="thin">
        <color rgb="FFCCCCCC"/>
      </top>
      <bottom style="thin">
        <color rgb="FFCCCCCC"/>
      </bottom>
      <diagonal/>
    </border>
    <border>
      <left/>
      <right style="thin">
        <color rgb="FFCCCCCC"/>
      </right>
      <top style="thin">
        <color rgb="FFCCCCCC"/>
      </top>
      <bottom style="thin">
        <color rgb="FFCCCCCC"/>
      </bottom>
      <diagonal/>
    </border>
    <border>
      <left style="thin">
        <color rgb="FFCCCCCC"/>
      </left>
      <right style="thick">
        <color rgb="FF000000"/>
      </right>
      <top style="thin">
        <color rgb="FFCCCCCC"/>
      </top>
      <bottom style="thin">
        <color rgb="FFCCCCCC"/>
      </bottom>
      <diagonal/>
    </border>
    <border>
      <left style="medium">
        <color rgb="FF434343"/>
      </left>
      <right style="medium">
        <color rgb="FF434343"/>
      </right>
      <top style="thin">
        <color rgb="FFCCCCCC"/>
      </top>
      <bottom style="thin">
        <color rgb="FFCCCCCC"/>
      </bottom>
      <diagonal/>
    </border>
    <border>
      <left style="thick">
        <color rgb="FF000000"/>
      </left>
      <right/>
      <top/>
      <bottom style="medium">
        <color rgb="FF434343"/>
      </bottom>
      <diagonal/>
    </border>
    <border>
      <left style="medium">
        <color rgb="FF434343"/>
      </left>
      <right style="medium">
        <color rgb="FF434343"/>
      </right>
      <top style="thin">
        <color rgb="FFCCCCCC"/>
      </top>
      <bottom style="medium">
        <color rgb="FF434343"/>
      </bottom>
      <diagonal/>
    </border>
    <border>
      <left/>
      <right style="thin">
        <color rgb="FFCCCCCC"/>
      </right>
      <top style="thin">
        <color rgb="FFCCCCCC"/>
      </top>
      <bottom style="medium">
        <color rgb="FF434343"/>
      </bottom>
      <diagonal/>
    </border>
    <border>
      <left style="thin">
        <color rgb="FFCCCCCC"/>
      </left>
      <right style="thin">
        <color rgb="FFCCCCCC"/>
      </right>
      <top style="thin">
        <color rgb="FFCCCCCC"/>
      </top>
      <bottom style="medium">
        <color rgb="FF434343"/>
      </bottom>
      <diagonal/>
    </border>
    <border>
      <left style="thin">
        <color rgb="FFCCCCCC"/>
      </left>
      <right style="medium">
        <color rgb="FF434343"/>
      </right>
      <top style="thin">
        <color rgb="FFCCCCCC"/>
      </top>
      <bottom style="medium">
        <color rgb="FF434343"/>
      </bottom>
      <diagonal/>
    </border>
    <border>
      <left style="thin">
        <color rgb="FFCCCCCC"/>
      </left>
      <right style="thick">
        <color rgb="FF000000"/>
      </right>
      <top style="thin">
        <color rgb="FFCCCCCC"/>
      </top>
      <bottom style="medium">
        <color rgb="FF434343"/>
      </bottom>
      <diagonal/>
    </border>
    <border>
      <left style="thick">
        <color rgb="FF000000"/>
      </left>
      <right style="medium">
        <color rgb="FF434343"/>
      </right>
      <top style="medium">
        <color rgb="FF434343"/>
      </top>
      <bottom/>
      <diagonal/>
    </border>
    <border>
      <left style="thin">
        <color rgb="FFCCCCCC"/>
      </left>
      <right style="thin">
        <color rgb="FFCCCCCC"/>
      </right>
      <top/>
      <bottom style="thin">
        <color rgb="FFCCCCCC"/>
      </bottom>
      <diagonal/>
    </border>
    <border>
      <left style="thin">
        <color rgb="FFCCCCCC"/>
      </left>
      <right style="medium">
        <color rgb="FF434343"/>
      </right>
      <top/>
      <bottom style="thin">
        <color rgb="FFCCCCCC"/>
      </bottom>
      <diagonal/>
    </border>
    <border>
      <left style="thin">
        <color rgb="FFCCCCCC"/>
      </left>
      <right style="thick">
        <color rgb="FF000000"/>
      </right>
      <top/>
      <bottom style="thin">
        <color rgb="FFCCCCCC"/>
      </bottom>
      <diagonal/>
    </border>
    <border>
      <left style="thick">
        <color rgb="FF000000"/>
      </left>
      <right style="medium">
        <color rgb="FF434343"/>
      </right>
      <top/>
      <bottom/>
      <diagonal/>
    </border>
    <border>
      <left style="thick">
        <color rgb="FF000000"/>
      </left>
      <right style="medium">
        <color rgb="FF434343"/>
      </right>
      <top/>
      <bottom style="medium">
        <color rgb="FF434343"/>
      </bottom>
      <diagonal/>
    </border>
    <border>
      <left style="medium">
        <color rgb="FF434343"/>
      </left>
      <right style="medium">
        <color rgb="FF434343"/>
      </right>
      <top style="thin">
        <color rgb="FFCCCCCC"/>
      </top>
      <bottom/>
      <diagonal/>
    </border>
    <border>
      <left style="thin">
        <color rgb="FFCCCCCC"/>
      </left>
      <right style="thin">
        <color rgb="FFCCCCCC"/>
      </right>
      <top style="thin">
        <color rgb="FFCCCCCC"/>
      </top>
      <bottom/>
      <diagonal/>
    </border>
    <border>
      <left style="thin">
        <color rgb="FFCCCCCC"/>
      </left>
      <right style="medium">
        <color rgb="FF434343"/>
      </right>
      <top style="thin">
        <color rgb="FFCCCCCC"/>
      </top>
      <bottom/>
      <diagonal/>
    </border>
    <border>
      <left style="thin">
        <color rgb="FFCCCCCC"/>
      </left>
      <right style="thick">
        <color rgb="FF000000"/>
      </right>
      <top style="thin">
        <color rgb="FFCCCCCC"/>
      </top>
      <bottom/>
      <diagonal/>
    </border>
    <border>
      <left style="thick">
        <color rgb="FF000000"/>
      </left>
      <right/>
      <top style="medium">
        <color rgb="FF434343"/>
      </top>
      <bottom/>
      <diagonal/>
    </border>
    <border>
      <left/>
      <right style="thin">
        <color rgb="FFCCCCCC"/>
      </right>
      <top style="medium">
        <color rgb="FF434343"/>
      </top>
      <bottom style="thin">
        <color rgb="FFCCCCCC"/>
      </bottom>
      <diagonal/>
    </border>
    <border>
      <left style="thin">
        <color rgb="FFCCCCCC"/>
      </left>
      <right style="thin">
        <color rgb="FFCCCCCC"/>
      </right>
      <top style="medium">
        <color rgb="FF434343"/>
      </top>
      <bottom style="thin">
        <color rgb="FFCCCCCC"/>
      </bottom>
      <diagonal/>
    </border>
    <border>
      <left style="thin">
        <color rgb="FFCCCCCC"/>
      </left>
      <right style="medium">
        <color rgb="FF434343"/>
      </right>
      <top style="medium">
        <color rgb="FF434343"/>
      </top>
      <bottom style="thin">
        <color rgb="FFCCCCCC"/>
      </bottom>
      <diagonal/>
    </border>
    <border>
      <left style="thin">
        <color rgb="FFCCCCCC"/>
      </left>
      <right style="thick">
        <color rgb="FF000000"/>
      </right>
      <top style="medium">
        <color rgb="FF434343"/>
      </top>
      <bottom style="thin">
        <color rgb="FFCCCCCC"/>
      </bottom>
      <diagonal/>
    </border>
    <border>
      <left style="medium">
        <color rgb="FF434343"/>
      </left>
      <right style="medium">
        <color rgb="FF434343"/>
      </right>
      <top/>
      <bottom/>
      <diagonal/>
    </border>
    <border>
      <left style="thin">
        <color rgb="FFCCCCCC"/>
      </left>
      <right style="thin">
        <color rgb="FFCCCCCC"/>
      </right>
      <top/>
      <bottom/>
      <diagonal/>
    </border>
    <border>
      <left style="thin">
        <color rgb="FFCCCCCC"/>
      </left>
      <right style="medium">
        <color rgb="FF434343"/>
      </right>
      <top/>
      <bottom/>
      <diagonal/>
    </border>
    <border>
      <left style="thin">
        <color rgb="FFCCCCCC"/>
      </left>
      <right style="thick">
        <color rgb="FF000000"/>
      </right>
      <top/>
      <bottom/>
      <diagonal/>
    </border>
    <border>
      <left style="thick">
        <color rgb="FF000000"/>
      </left>
      <right style="medium">
        <color rgb="FF434343"/>
      </right>
      <top style="thick">
        <color rgb="FF000000"/>
      </top>
      <bottom/>
      <diagonal/>
    </border>
    <border>
      <left/>
      <right/>
      <top style="thick">
        <color rgb="FF000000"/>
      </top>
      <bottom/>
      <diagonal/>
    </border>
    <border>
      <left style="thin">
        <color rgb="FFCCCCCC"/>
      </left>
      <right style="thin">
        <color rgb="FFCCCCCC"/>
      </right>
      <top style="thick">
        <color rgb="FF000000"/>
      </top>
      <bottom/>
      <diagonal/>
    </border>
    <border>
      <left/>
      <right style="medium">
        <color rgb="FF434343"/>
      </right>
      <top style="thick">
        <color rgb="FF000000"/>
      </top>
      <bottom/>
      <diagonal/>
    </border>
    <border>
      <left/>
      <right style="thin">
        <color rgb="FFCCCCCC"/>
      </right>
      <top style="thick">
        <color rgb="FF000000"/>
      </top>
      <bottom/>
      <diagonal/>
    </border>
    <border>
      <left style="thin">
        <color rgb="FFCCCCCC"/>
      </left>
      <right style="thin">
        <color rgb="FFCCCCCC"/>
      </right>
      <top style="dotted">
        <color rgb="FFCCCCCC"/>
      </top>
      <bottom style="dotted">
        <color rgb="FFCCCCCC"/>
      </bottom>
      <diagonal/>
    </border>
    <border>
      <left/>
      <right/>
      <top style="dotted">
        <color rgb="FFCCCCCC"/>
      </top>
      <bottom style="dotted">
        <color rgb="FFCCCCCC"/>
      </bottom>
      <diagonal/>
    </border>
    <border>
      <left/>
      <right style="medium">
        <color rgb="FF434343"/>
      </right>
      <top style="dotted">
        <color rgb="FFCCCCCC"/>
      </top>
      <bottom style="dotted">
        <color rgb="FFCCCCCC"/>
      </bottom>
      <diagonal/>
    </border>
    <border>
      <left/>
      <right style="thin">
        <color rgb="FFCCCCCC"/>
      </right>
      <top style="dotted">
        <color rgb="FFCCCCCC"/>
      </top>
      <bottom style="dotted">
        <color rgb="FFCCCCCC"/>
      </bottom>
      <diagonal/>
    </border>
    <border>
      <left/>
      <right style="thick">
        <color rgb="FF000000"/>
      </right>
      <top style="dotted">
        <color rgb="FFCCCCCC"/>
      </top>
      <bottom style="dotted">
        <color rgb="FFCCCCCC"/>
      </bottom>
      <diagonal/>
    </border>
    <border>
      <left style="medium">
        <color rgb="FF434343"/>
      </left>
      <right/>
      <top/>
      <bottom style="thin">
        <color rgb="FFCCCCCC"/>
      </bottom>
      <diagonal/>
    </border>
    <border>
      <left/>
      <right style="medium">
        <color rgb="FF434343"/>
      </right>
      <top/>
      <bottom style="thin">
        <color rgb="FFCCCCCC"/>
      </bottom>
      <diagonal/>
    </border>
    <border>
      <left/>
      <right style="thick">
        <color rgb="FF000000"/>
      </right>
      <top/>
      <bottom style="thin">
        <color rgb="FFCCCCCC"/>
      </bottom>
      <diagonal/>
    </border>
    <border>
      <left/>
      <right style="medium">
        <color rgb="FF434343"/>
      </right>
      <top/>
      <bottom/>
      <diagonal/>
    </border>
    <border>
      <left/>
      <right style="thick">
        <color rgb="FF000000"/>
      </right>
      <top/>
      <bottom/>
      <diagonal/>
    </border>
    <border>
      <left/>
      <right/>
      <top/>
      <bottom style="medium">
        <color rgb="FF434343"/>
      </bottom>
      <diagonal/>
    </border>
    <border>
      <left style="thin">
        <color rgb="FFCCCCCC"/>
      </left>
      <right style="thin">
        <color rgb="FFCCCCCC"/>
      </right>
      <top/>
      <bottom style="medium">
        <color rgb="FF434343"/>
      </bottom>
      <diagonal/>
    </border>
    <border>
      <left/>
      <right style="medium">
        <color rgb="FF434343"/>
      </right>
      <top/>
      <bottom style="medium">
        <color rgb="FF434343"/>
      </bottom>
      <diagonal/>
    </border>
    <border>
      <left/>
      <right style="thin">
        <color rgb="FFCCCCCC"/>
      </right>
      <top/>
      <bottom style="medium">
        <color rgb="FF434343"/>
      </bottom>
      <diagonal/>
    </border>
    <border>
      <left/>
      <right style="thick">
        <color rgb="FF000000"/>
      </right>
      <top/>
      <bottom style="medium">
        <color rgb="FF434343"/>
      </bottom>
      <diagonal/>
    </border>
    <border>
      <left style="thin">
        <color rgb="FFCCCCCC"/>
      </left>
      <right style="thin">
        <color rgb="FFCCCCCC"/>
      </right>
      <top style="dotted">
        <color rgb="FFCCCCCC"/>
      </top>
      <bottom style="thin">
        <color rgb="FFCCCCCC"/>
      </bottom>
      <diagonal/>
    </border>
    <border>
      <left/>
      <right/>
      <top style="dotted">
        <color rgb="FFCCCCCC"/>
      </top>
      <bottom style="thin">
        <color rgb="FFCCCCCC"/>
      </bottom>
      <diagonal/>
    </border>
    <border>
      <left/>
      <right style="medium">
        <color rgb="FF434343"/>
      </right>
      <top style="dotted">
        <color rgb="FFCCCCCC"/>
      </top>
      <bottom style="thin">
        <color rgb="FFCCCCCC"/>
      </bottom>
      <diagonal/>
    </border>
    <border>
      <left/>
      <right style="thin">
        <color rgb="FFCCCCCC"/>
      </right>
      <top style="dotted">
        <color rgb="FFCCCCCC"/>
      </top>
      <bottom style="thin">
        <color rgb="FFCCCCCC"/>
      </bottom>
      <diagonal/>
    </border>
    <border>
      <left/>
      <right style="thick">
        <color rgb="FF000000"/>
      </right>
      <top style="dotted">
        <color rgb="FFCCCCCC"/>
      </top>
      <bottom style="thin">
        <color rgb="FFCCCCCC"/>
      </bottom>
      <diagonal/>
    </border>
    <border>
      <left/>
      <right/>
      <top style="thin">
        <color rgb="FFCCCCCC"/>
      </top>
      <bottom style="thin">
        <color rgb="FFCCCCCC"/>
      </bottom>
      <diagonal/>
    </border>
    <border>
      <left style="medium">
        <color rgb="FF434343"/>
      </left>
      <right style="thin">
        <color rgb="FFCCCCCC"/>
      </right>
      <top style="thin">
        <color rgb="FFCCCCCC"/>
      </top>
      <bottom style="thin">
        <color rgb="FFCCCCCC"/>
      </bottom>
      <diagonal/>
    </border>
    <border>
      <left/>
      <right/>
      <top style="thin">
        <color rgb="FFCCCCCC"/>
      </top>
      <bottom style="medium">
        <color rgb="FF434343"/>
      </bottom>
      <diagonal/>
    </border>
    <border>
      <left style="medium">
        <color rgb="FF434343"/>
      </left>
      <right style="thin">
        <color rgb="FFCCCCCC"/>
      </right>
      <top style="thin">
        <color rgb="FFCCCCCC"/>
      </top>
      <bottom style="medium">
        <color rgb="FF434343"/>
      </bottom>
      <diagonal/>
    </border>
    <border>
      <left/>
      <right/>
      <top/>
      <bottom style="thick">
        <color rgb="FF000000"/>
      </bottom>
      <diagonal/>
    </border>
    <border>
      <left style="thin">
        <color rgb="FFCCCCCC"/>
      </left>
      <right style="thin">
        <color rgb="FFCCCCCC"/>
      </right>
      <top style="medium">
        <color rgb="FF000000"/>
      </top>
      <bottom style="thin">
        <color rgb="FFCCCCCC"/>
      </bottom>
      <diagonal/>
    </border>
    <border>
      <left style="dotted">
        <color rgb="FFCCCCCC"/>
      </left>
      <right style="dotted">
        <color rgb="FFCCCCCC"/>
      </right>
      <top style="dotted">
        <color rgb="FFCCCCCC"/>
      </top>
      <bottom style="dotted">
        <color rgb="FFCCCCCC"/>
      </bottom>
      <diagonal/>
    </border>
    <border>
      <left style="thick">
        <color rgb="FF434343"/>
      </left>
      <right style="thick">
        <color rgb="FF434343"/>
      </right>
      <top style="thick">
        <color rgb="FF000000"/>
      </top>
      <bottom style="thick">
        <color rgb="FF434343"/>
      </bottom>
      <diagonal/>
    </border>
    <border>
      <left style="medium">
        <color rgb="FF434343"/>
      </left>
      <right style="medium">
        <color rgb="FF434343"/>
      </right>
      <top style="thick">
        <color rgb="FF434343"/>
      </top>
      <bottom/>
      <diagonal/>
    </border>
    <border>
      <left/>
      <right style="medium">
        <color rgb="FF434343"/>
      </right>
      <top style="thick">
        <color rgb="FF434343"/>
      </top>
      <bottom/>
      <diagonal/>
    </border>
    <border>
      <left/>
      <right style="thin">
        <color rgb="FFCCCCCC"/>
      </right>
      <top style="thick">
        <color rgb="FF434343"/>
      </top>
      <bottom/>
      <diagonal/>
    </border>
    <border>
      <left/>
      <right/>
      <top style="thick">
        <color rgb="FF434343"/>
      </top>
      <bottom/>
      <diagonal/>
    </border>
    <border>
      <left style="thin">
        <color rgb="FFCCCCCC"/>
      </left>
      <right style="thin">
        <color rgb="FFCCCCCC"/>
      </right>
      <top style="thick">
        <color rgb="FF434343"/>
      </top>
      <bottom/>
      <diagonal/>
    </border>
    <border>
      <left style="medium">
        <color rgb="FF434343"/>
      </left>
      <right/>
      <top style="thick">
        <color rgb="FF434343"/>
      </top>
      <bottom/>
      <diagonal/>
    </border>
    <border>
      <left/>
      <right style="thick">
        <color rgb="FF000000"/>
      </right>
      <top style="thick">
        <color rgb="FF434343"/>
      </top>
      <bottom/>
      <diagonal/>
    </border>
    <border>
      <left style="medium">
        <color rgb="FF434343"/>
      </left>
      <right style="medium">
        <color rgb="FF434343"/>
      </right>
      <top style="thick">
        <color rgb="FF434343"/>
      </top>
      <bottom style="thin">
        <color rgb="FFCCCCCC"/>
      </bottom>
      <diagonal/>
    </border>
    <border>
      <left/>
      <right style="medium">
        <color rgb="FF434343"/>
      </right>
      <top style="thick">
        <color rgb="FF434343"/>
      </top>
      <bottom style="thin">
        <color rgb="FFD9D9D9"/>
      </bottom>
      <diagonal/>
    </border>
    <border>
      <left/>
      <right style="medium">
        <color rgb="FF434343"/>
      </right>
      <top style="thin">
        <color rgb="FFCCCCCC"/>
      </top>
      <bottom style="thin">
        <color rgb="FFCCCCCC"/>
      </bottom>
      <diagonal/>
    </border>
    <border>
      <left/>
      <right style="medium">
        <color rgb="FF434343"/>
      </right>
      <top style="thin">
        <color rgb="FFCCCCCC"/>
      </top>
      <bottom style="medium">
        <color rgb="FF434343"/>
      </bottom>
      <diagonal/>
    </border>
    <border>
      <left/>
      <right style="medium">
        <color rgb="FF434343"/>
      </right>
      <top style="thin">
        <color rgb="FFCCCCCC"/>
      </top>
      <bottom/>
      <diagonal/>
    </border>
    <border>
      <left style="thick">
        <color rgb="FF000000"/>
      </left>
      <right/>
      <top style="medium">
        <color rgb="FF434343"/>
      </top>
      <bottom style="medium">
        <color rgb="FF434343"/>
      </bottom>
      <diagonal/>
    </border>
    <border>
      <left style="medium">
        <color rgb="FF434343"/>
      </left>
      <right style="medium">
        <color rgb="FF434343"/>
      </right>
      <top style="medium">
        <color rgb="FF434343"/>
      </top>
      <bottom style="medium">
        <color rgb="FF434343"/>
      </bottom>
      <diagonal/>
    </border>
    <border>
      <left/>
      <right style="medium">
        <color rgb="FF434343"/>
      </right>
      <top style="medium">
        <color rgb="FF434343"/>
      </top>
      <bottom style="medium">
        <color rgb="FF434343"/>
      </bottom>
      <diagonal/>
    </border>
    <border>
      <left/>
      <right style="thin">
        <color rgb="FFCCCCCC"/>
      </right>
      <top style="medium">
        <color rgb="FF434343"/>
      </top>
      <bottom style="medium">
        <color rgb="FF434343"/>
      </bottom>
      <diagonal/>
    </border>
    <border>
      <left style="thin">
        <color rgb="FFCCCCCC"/>
      </left>
      <right style="thin">
        <color rgb="FFCCCCCC"/>
      </right>
      <top style="medium">
        <color rgb="FF434343"/>
      </top>
      <bottom style="medium">
        <color rgb="FF434343"/>
      </bottom>
      <diagonal/>
    </border>
    <border>
      <left style="thin">
        <color rgb="FFCCCCCC"/>
      </left>
      <right style="medium">
        <color rgb="FF434343"/>
      </right>
      <top style="medium">
        <color rgb="FF434343"/>
      </top>
      <bottom style="medium">
        <color rgb="FF434343"/>
      </bottom>
      <diagonal/>
    </border>
    <border>
      <left style="thin">
        <color rgb="FFCCCCCC"/>
      </left>
      <right style="thick">
        <color rgb="FF000000"/>
      </right>
      <top style="medium">
        <color rgb="FF434343"/>
      </top>
      <bottom style="medium">
        <color rgb="FF434343"/>
      </bottom>
      <diagonal/>
    </border>
    <border>
      <left/>
      <right style="medium">
        <color rgb="FF434343"/>
      </right>
      <top style="medium">
        <color rgb="FF434343"/>
      </top>
      <bottom style="thin">
        <color rgb="FFCCCCCC"/>
      </bottom>
      <diagonal/>
    </border>
    <border>
      <left style="thick">
        <color rgb="FF000000"/>
      </left>
      <right style="medium">
        <color rgb="FF000000"/>
      </right>
      <top style="medium">
        <color rgb="FF000000"/>
      </top>
      <bottom style="medium">
        <color rgb="FF434343"/>
      </bottom>
      <diagonal/>
    </border>
    <border>
      <left style="medium">
        <color rgb="FF000000"/>
      </left>
      <right style="medium">
        <color rgb="FF000000"/>
      </right>
      <top style="medium">
        <color rgb="FF000000"/>
      </top>
      <bottom style="medium">
        <color rgb="FF434343"/>
      </bottom>
      <diagonal/>
    </border>
    <border>
      <left style="thin">
        <color rgb="FFCCCCCC"/>
      </left>
      <right style="medium">
        <color rgb="FF434343"/>
      </right>
      <top/>
      <bottom style="medium">
        <color rgb="FF434343"/>
      </bottom>
      <diagonal/>
    </border>
    <border>
      <left style="thin">
        <color rgb="FFCCCCCC"/>
      </left>
      <right style="thick">
        <color rgb="FF000000"/>
      </right>
      <top/>
      <bottom style="medium">
        <color rgb="FF434343"/>
      </bottom>
      <diagonal/>
    </border>
    <border>
      <left style="thick">
        <color rgb="FF434343"/>
      </left>
      <right/>
      <top/>
      <bottom/>
      <diagonal/>
    </border>
    <border>
      <left style="thick">
        <color rgb="FF434343"/>
      </left>
      <right/>
      <top style="thick">
        <color rgb="FF434343"/>
      </top>
      <bottom/>
      <diagonal/>
    </border>
    <border>
      <left/>
      <right style="thick">
        <color rgb="FF434343"/>
      </right>
      <top style="thick">
        <color rgb="FF434343"/>
      </top>
      <bottom/>
      <diagonal/>
    </border>
    <border>
      <left/>
      <right style="thick">
        <color rgb="FF434343"/>
      </right>
      <top/>
      <bottom/>
      <diagonal/>
    </border>
    <border>
      <left style="thick">
        <color rgb="FF434343"/>
      </left>
      <right/>
      <top/>
      <bottom style="thick">
        <color rgb="FF434343"/>
      </bottom>
      <diagonal/>
    </border>
    <border>
      <left/>
      <right style="thick">
        <color rgb="FF434343"/>
      </right>
      <top/>
      <bottom style="thick">
        <color rgb="FF434343"/>
      </bottom>
      <diagonal/>
    </border>
    <border>
      <left style="thin">
        <color rgb="FFCCCCCC"/>
      </left>
      <right/>
      <top style="thick">
        <color rgb="FF000000"/>
      </top>
      <bottom/>
      <diagonal/>
    </border>
    <border>
      <left/>
      <right style="thin">
        <color rgb="FFCCCCCC"/>
      </right>
      <top style="dotted">
        <color rgb="FFCCCCCC"/>
      </top>
      <bottom/>
      <diagonal/>
    </border>
    <border>
      <left/>
      <right/>
      <top style="dotted">
        <color rgb="FFCCCCCC"/>
      </top>
      <bottom/>
      <diagonal/>
    </border>
    <border>
      <left style="thin">
        <color rgb="FFCCCCCC"/>
      </left>
      <right style="thin">
        <color rgb="FFCCCCCC"/>
      </right>
      <top style="dotted">
        <color rgb="FFCCCCCC"/>
      </top>
      <bottom/>
      <diagonal/>
    </border>
    <border>
      <left/>
      <right style="medium">
        <color rgb="FF434343"/>
      </right>
      <top style="dotted">
        <color rgb="FFCCCCCC"/>
      </top>
      <bottom/>
      <diagonal/>
    </border>
    <border>
      <left style="thin">
        <color rgb="FFCCCCCC"/>
      </left>
      <right/>
      <top style="dotted">
        <color rgb="FFCCCCCC"/>
      </top>
      <bottom/>
      <diagonal/>
    </border>
    <border>
      <left style="thin">
        <color rgb="FFCCCCCC"/>
      </left>
      <right/>
      <top style="thin">
        <color rgb="FFCCCCCC"/>
      </top>
      <bottom style="thin">
        <color rgb="FFCCCCCC"/>
      </bottom>
      <diagonal/>
    </border>
    <border>
      <left style="medium">
        <color rgb="FF434343"/>
      </left>
      <right style="medium">
        <color rgb="FF434343"/>
      </right>
      <top/>
      <bottom style="medium">
        <color rgb="FF434343"/>
      </bottom>
      <diagonal/>
    </border>
    <border>
      <left style="thin">
        <color rgb="FFCCCCCC"/>
      </left>
      <right/>
      <top/>
      <bottom style="medium">
        <color rgb="FF434343"/>
      </bottom>
      <diagonal/>
    </border>
    <border>
      <left style="thin">
        <color rgb="FFCCCCCC"/>
      </left>
      <right style="thin">
        <color rgb="FFCCCCCC"/>
      </right>
      <top/>
      <bottom style="dotted">
        <color rgb="FFCCCCCC"/>
      </bottom>
      <diagonal/>
    </border>
    <border>
      <left/>
      <right style="thin">
        <color rgb="FFCCCCCC"/>
      </right>
      <top/>
      <bottom style="dotted">
        <color rgb="FFCCCCCC"/>
      </bottom>
      <diagonal/>
    </border>
    <border>
      <left/>
      <right style="medium">
        <color rgb="FF434343"/>
      </right>
      <top/>
      <bottom style="dotted">
        <color rgb="FFCCCCCC"/>
      </bottom>
      <diagonal/>
    </border>
    <border>
      <left/>
      <right/>
      <top/>
      <bottom style="dotted">
        <color rgb="FFCCCCCC"/>
      </bottom>
      <diagonal/>
    </border>
    <border>
      <left style="thin">
        <color rgb="FFCCCCCC"/>
      </left>
      <right/>
      <top/>
      <bottom style="dotted">
        <color rgb="FFCCCCCC"/>
      </bottom>
      <diagonal/>
    </border>
    <border>
      <left/>
      <right style="thick">
        <color rgb="FF000000"/>
      </right>
      <top/>
      <bottom style="dotted">
        <color rgb="FFCCCCCC"/>
      </bottom>
      <diagonal/>
    </border>
    <border>
      <left style="medium">
        <color rgb="FF434343"/>
      </left>
      <right style="medium">
        <color rgb="FF434343"/>
      </right>
      <top style="dotted">
        <color rgb="FFCCCCCC"/>
      </top>
      <bottom style="dotted">
        <color rgb="FFCCCCCC"/>
      </bottom>
      <diagonal/>
    </border>
    <border>
      <left style="medium">
        <color rgb="FF434343"/>
      </left>
      <right style="medium">
        <color rgb="FF434343"/>
      </right>
      <top/>
      <bottom style="dotted">
        <color rgb="FFCCCCCC"/>
      </bottom>
      <diagonal/>
    </border>
    <border>
      <left style="thin">
        <color rgb="FFCCCCCC"/>
      </left>
      <right/>
      <top style="dotted">
        <color rgb="FFCCCCCC"/>
      </top>
      <bottom style="dotted">
        <color rgb="FFCCCCCC"/>
      </bottom>
      <diagonal/>
    </border>
    <border>
      <left style="medium">
        <color rgb="FF434343"/>
      </left>
      <right style="medium">
        <color rgb="FF434343"/>
      </right>
      <top style="dotted">
        <color rgb="FFCCCCCC"/>
      </top>
      <bottom style="thin">
        <color rgb="FFCCCCCC"/>
      </bottom>
      <diagonal/>
    </border>
    <border>
      <left style="thin">
        <color rgb="FFCCCCCC"/>
      </left>
      <right/>
      <top style="dotted">
        <color rgb="FFCCCCCC"/>
      </top>
      <bottom style="thin">
        <color rgb="FFCCCCCC"/>
      </bottom>
      <diagonal/>
    </border>
    <border>
      <left/>
      <right/>
      <top/>
      <bottom style="thin">
        <color rgb="FF434343"/>
      </bottom>
      <diagonal/>
    </border>
    <border>
      <left style="thick">
        <color rgb="FF000000"/>
      </left>
      <right/>
      <top style="thick">
        <color rgb="FF434343"/>
      </top>
      <bottom style="thin">
        <color rgb="FFCCCCCC"/>
      </bottom>
      <diagonal/>
    </border>
    <border>
      <left/>
      <right style="medium">
        <color rgb="FF434343"/>
      </right>
      <top style="thick">
        <color rgb="FF434343"/>
      </top>
      <bottom style="thin">
        <color rgb="FFCCCCCC"/>
      </bottom>
      <diagonal/>
    </border>
    <border>
      <left style="thin">
        <color rgb="FFCCCCCC"/>
      </left>
      <right style="medium">
        <color rgb="FF434343"/>
      </right>
      <top style="thick">
        <color rgb="FF434343"/>
      </top>
      <bottom/>
      <diagonal/>
    </border>
    <border>
      <left style="thin">
        <color rgb="FFCCCCCC"/>
      </left>
      <right/>
      <top style="thick">
        <color rgb="FF434343"/>
      </top>
      <bottom style="thin">
        <color rgb="FFCCCCCC"/>
      </bottom>
      <diagonal/>
    </border>
    <border>
      <left style="thick">
        <color rgb="FF000000"/>
      </left>
      <right/>
      <top style="thin">
        <color rgb="FFCCCCCC"/>
      </top>
      <bottom style="thin">
        <color rgb="FFCCCCCC"/>
      </bottom>
      <diagonal/>
    </border>
    <border>
      <left style="thick">
        <color rgb="FF000000"/>
      </left>
      <right/>
      <top style="thin">
        <color rgb="FFCCCCCC"/>
      </top>
      <bottom/>
      <diagonal/>
    </border>
    <border>
      <left style="thick">
        <color rgb="FF000000"/>
      </left>
      <right/>
      <top style="thin">
        <color rgb="FFCCCCCC"/>
      </top>
      <bottom style="medium">
        <color rgb="FF434343"/>
      </bottom>
      <diagonal/>
    </border>
    <border>
      <left style="thick">
        <color rgb="FF434343"/>
      </left>
      <right/>
      <top style="thick">
        <color rgb="FF434343"/>
      </top>
      <bottom style="thick">
        <color rgb="FF434343"/>
      </bottom>
      <diagonal/>
    </border>
    <border>
      <left/>
      <right style="thick">
        <color rgb="FF434343"/>
      </right>
      <top style="thick">
        <color rgb="FF434343"/>
      </top>
      <bottom style="thick">
        <color rgb="FF434343"/>
      </bottom>
      <diagonal/>
    </border>
    <border>
      <left/>
      <right/>
      <top/>
      <bottom style="thin">
        <color rgb="FF000000"/>
      </bottom>
      <diagonal/>
    </border>
    <border>
      <left style="medium">
        <color rgb="FF434343"/>
      </left>
      <right style="thin">
        <color rgb="FFCCCCCC"/>
      </right>
      <top style="thick">
        <color rgb="FF434343"/>
      </top>
      <bottom style="thin">
        <color rgb="FFCCCCCC"/>
      </bottom>
      <diagonal/>
    </border>
    <border>
      <left style="thin">
        <color rgb="FFCCCCCC"/>
      </left>
      <right style="thick">
        <color rgb="FF434343"/>
      </right>
      <top style="thick">
        <color rgb="FF434343"/>
      </top>
      <bottom style="thin">
        <color rgb="FFCCCCCC"/>
      </bottom>
      <diagonal/>
    </border>
    <border>
      <left style="thin">
        <color rgb="FFCCCCCC"/>
      </left>
      <right style="thick">
        <color rgb="FF434343"/>
      </right>
      <top style="thin">
        <color rgb="FFCCCCCC"/>
      </top>
      <bottom style="thin">
        <color rgb="FFCCCCCC"/>
      </bottom>
      <diagonal/>
    </border>
    <border>
      <left style="thick">
        <color rgb="FF434343"/>
      </left>
      <right/>
      <top/>
      <bottom style="medium">
        <color rgb="FF434343"/>
      </bottom>
      <diagonal/>
    </border>
    <border>
      <left style="thin">
        <color rgb="FFCCCCCC"/>
      </left>
      <right/>
      <top style="thin">
        <color rgb="FFCCCCCC"/>
      </top>
      <bottom style="medium">
        <color rgb="FF434343"/>
      </bottom>
      <diagonal/>
    </border>
    <border>
      <left style="thin">
        <color rgb="FFCCCCCC"/>
      </left>
      <right style="thick">
        <color rgb="FF434343"/>
      </right>
      <top style="thin">
        <color rgb="FFCCCCCC"/>
      </top>
      <bottom style="medium">
        <color rgb="FF434343"/>
      </bottom>
      <diagonal/>
    </border>
    <border>
      <left/>
      <right style="medium">
        <color rgb="FF434343"/>
      </right>
      <top style="thin">
        <color rgb="FFCCCCCC"/>
      </top>
      <bottom style="thick">
        <color rgb="FF434343"/>
      </bottom>
      <diagonal/>
    </border>
    <border>
      <left/>
      <right style="thin">
        <color rgb="FFCCCCCC"/>
      </right>
      <top style="thin">
        <color rgb="FFCCCCCC"/>
      </top>
      <bottom style="thick">
        <color rgb="FF434343"/>
      </bottom>
      <diagonal/>
    </border>
    <border>
      <left style="thin">
        <color rgb="FFCCCCCC"/>
      </left>
      <right style="thin">
        <color rgb="FFCCCCCC"/>
      </right>
      <top style="thin">
        <color rgb="FFCCCCCC"/>
      </top>
      <bottom style="thick">
        <color rgb="FF434343"/>
      </bottom>
      <diagonal/>
    </border>
    <border>
      <left style="thin">
        <color rgb="FFCCCCCC"/>
      </left>
      <right style="medium">
        <color rgb="FF434343"/>
      </right>
      <top style="thin">
        <color rgb="FFCCCCCC"/>
      </top>
      <bottom style="thick">
        <color rgb="FF434343"/>
      </bottom>
      <diagonal/>
    </border>
    <border>
      <left style="thin">
        <color rgb="FFCCCCCC"/>
      </left>
      <right/>
      <top style="thin">
        <color rgb="FFCCCCCC"/>
      </top>
      <bottom style="thick">
        <color rgb="FF434343"/>
      </bottom>
      <diagonal/>
    </border>
    <border>
      <left style="medium">
        <color rgb="FF434343"/>
      </left>
      <right style="thin">
        <color rgb="FFCCCCCC"/>
      </right>
      <top style="thin">
        <color rgb="FFCCCCCC"/>
      </top>
      <bottom style="thick">
        <color rgb="FF434343"/>
      </bottom>
      <diagonal/>
    </border>
    <border>
      <left style="thin">
        <color rgb="FFCCCCCC"/>
      </left>
      <right style="thick">
        <color rgb="FF434343"/>
      </right>
      <top style="thin">
        <color rgb="FFCCCCCC"/>
      </top>
      <bottom style="thick">
        <color rgb="FF434343"/>
      </bottom>
      <diagonal/>
    </border>
    <border>
      <left/>
      <right style="thin">
        <color rgb="FFCCCCCC"/>
      </right>
      <top style="medium">
        <color rgb="FF000000"/>
      </top>
      <bottom style="thin">
        <color rgb="FFCCCCCC"/>
      </bottom>
      <diagonal/>
    </border>
    <border>
      <left style="hair">
        <color rgb="FFCCCCCC"/>
      </left>
      <right style="hair">
        <color rgb="FFCCCCCC"/>
      </right>
      <top style="hair">
        <color rgb="FFCCCCCC"/>
      </top>
      <bottom style="hair">
        <color rgb="FFCCCCCC"/>
      </bottom>
      <diagonal/>
    </border>
    <border>
      <left style="thick">
        <color rgb="FF434343"/>
      </left>
      <right style="medium">
        <color rgb="FF434343"/>
      </right>
      <top/>
      <bottom/>
      <diagonal/>
    </border>
    <border>
      <left style="medium">
        <color rgb="FF000000"/>
      </left>
      <right style="medium">
        <color rgb="FF000000"/>
      </right>
      <top style="medium">
        <color rgb="FF000000"/>
      </top>
      <bottom style="thin">
        <color rgb="FFCCCCCC"/>
      </bottom>
      <diagonal/>
    </border>
    <border>
      <left style="medium">
        <color rgb="FF000000"/>
      </left>
      <right style="medium">
        <color rgb="FF000000"/>
      </right>
      <top style="thick">
        <color rgb="FF000000"/>
      </top>
      <bottom/>
      <diagonal/>
    </border>
    <border>
      <left style="thin">
        <color rgb="FFCCCCCC"/>
      </left>
      <right style="thick">
        <color rgb="FF000000"/>
      </right>
      <top style="thick">
        <color rgb="FF000000"/>
      </top>
      <bottom style="dotted">
        <color rgb="FFCCCCCC"/>
      </bottom>
      <diagonal/>
    </border>
    <border>
      <left style="medium">
        <color rgb="FF000000"/>
      </left>
      <right style="medium">
        <color rgb="FF000000"/>
      </right>
      <top style="dotted">
        <color rgb="FFCCCCCC"/>
      </top>
      <bottom/>
      <diagonal/>
    </border>
    <border>
      <left style="medium">
        <color rgb="FF000000"/>
      </left>
      <right style="medium">
        <color rgb="FF000000"/>
      </right>
      <top style="thin">
        <color rgb="FFCCCCCC"/>
      </top>
      <bottom style="thin">
        <color rgb="FFCCCCCC"/>
      </bottom>
      <diagonal/>
    </border>
    <border>
      <left style="medium">
        <color rgb="FF000000"/>
      </left>
      <right style="medium">
        <color rgb="FF000000"/>
      </right>
      <top/>
      <bottom style="thin">
        <color rgb="FFCCCCCC"/>
      </bottom>
      <diagonal/>
    </border>
    <border>
      <left style="medium">
        <color rgb="FF000000"/>
      </left>
      <right style="medium">
        <color rgb="FF000000"/>
      </right>
      <top/>
      <bottom style="medium">
        <color rgb="FF000000"/>
      </bottom>
      <diagonal/>
    </border>
    <border>
      <left style="thick">
        <color rgb="FF000000"/>
      </left>
      <right style="medium">
        <color rgb="FF434343"/>
      </right>
      <top style="medium">
        <color rgb="FF434343"/>
      </top>
      <bottom style="medium">
        <color rgb="FF434343"/>
      </bottom>
      <diagonal/>
    </border>
    <border>
      <left/>
      <right/>
      <top style="medium">
        <color rgb="FF434343"/>
      </top>
      <bottom style="medium">
        <color rgb="FF434343"/>
      </bottom>
      <diagonal/>
    </border>
    <border>
      <left style="thin">
        <color rgb="FFCCCCCC"/>
      </left>
      <right/>
      <top style="medium">
        <color rgb="FF434343"/>
      </top>
      <bottom style="medium">
        <color rgb="FF434343"/>
      </bottom>
      <diagonal/>
    </border>
    <border>
      <left/>
      <right style="thick">
        <color rgb="FF000000"/>
      </right>
      <top style="medium">
        <color rgb="FF434343"/>
      </top>
      <bottom style="medium">
        <color rgb="FF434343"/>
      </bottom>
      <diagonal/>
    </border>
    <border>
      <left style="thick">
        <color rgb="FF000000"/>
      </left>
      <right/>
      <top/>
      <bottom style="thick">
        <color rgb="FF000000"/>
      </bottom>
      <diagonal/>
    </border>
    <border>
      <left style="medium">
        <color rgb="FF434343"/>
      </left>
      <right style="medium">
        <color rgb="FF434343"/>
      </right>
      <top style="thin">
        <color rgb="FFCCCCCC"/>
      </top>
      <bottom style="thick">
        <color rgb="FF000000"/>
      </bottom>
      <diagonal/>
    </border>
    <border>
      <left/>
      <right style="medium">
        <color rgb="FF434343"/>
      </right>
      <top/>
      <bottom style="thick">
        <color rgb="FF000000"/>
      </bottom>
      <diagonal/>
    </border>
    <border>
      <left style="thin">
        <color rgb="FFCCCCCC"/>
      </left>
      <right style="thin">
        <color rgb="FFCCCCCC"/>
      </right>
      <top/>
      <bottom style="thick">
        <color rgb="FF000000"/>
      </bottom>
      <diagonal/>
    </border>
    <border>
      <left style="thin">
        <color rgb="FFCCCCCC"/>
      </left>
      <right/>
      <top/>
      <bottom style="thick">
        <color rgb="FF000000"/>
      </bottom>
      <diagonal/>
    </border>
    <border>
      <left style="medium">
        <color rgb="FF434343"/>
      </left>
      <right/>
      <top/>
      <bottom style="thick">
        <color rgb="FF000000"/>
      </bottom>
      <diagonal/>
    </border>
    <border>
      <left style="thin">
        <color rgb="FFCCCCCC"/>
      </left>
      <right style="medium">
        <color rgb="FF434343"/>
      </right>
      <top/>
      <bottom style="thick">
        <color rgb="FF000000"/>
      </bottom>
      <diagonal/>
    </border>
    <border>
      <left style="thin">
        <color rgb="FFCCCCCC"/>
      </left>
      <right style="thick">
        <color rgb="FF000000"/>
      </right>
      <top/>
      <bottom style="thick">
        <color rgb="FF000000"/>
      </bottom>
      <diagonal/>
    </border>
  </borders>
  <cellStyleXfs count="1">
    <xf numFmtId="0" fontId="0" fillId="0" borderId="0"/>
  </cellStyleXfs>
  <cellXfs count="1105">
    <xf numFmtId="0" fontId="0" fillId="0" borderId="0" xfId="0" applyFont="1" applyAlignment="1"/>
    <xf numFmtId="0" fontId="3" fillId="0" borderId="0" xfId="0" applyFont="1" applyAlignment="1">
      <alignment vertical="center"/>
    </xf>
    <xf numFmtId="0" fontId="3" fillId="0" borderId="0" xfId="0" applyFont="1" applyAlignment="1">
      <alignment vertical="center"/>
    </xf>
    <xf numFmtId="0" fontId="4" fillId="0" borderId="0" xfId="0" applyFont="1" applyAlignment="1">
      <alignment horizontal="center" vertical="center"/>
    </xf>
    <xf numFmtId="0" fontId="5" fillId="0" borderId="0" xfId="0" applyFont="1" applyAlignment="1">
      <alignment vertical="center"/>
    </xf>
    <xf numFmtId="0" fontId="5" fillId="0" borderId="0" xfId="0" applyFont="1" applyAlignment="1">
      <alignment vertical="center"/>
    </xf>
    <xf numFmtId="0" fontId="5" fillId="0" borderId="0" xfId="0" applyFont="1" applyAlignment="1">
      <alignment horizontal="center" vertical="center"/>
    </xf>
    <xf numFmtId="0" fontId="5" fillId="0" borderId="0" xfId="0" applyFont="1" applyAlignment="1">
      <alignment horizontal="left" vertical="center"/>
    </xf>
    <xf numFmtId="164" fontId="5" fillId="0" borderId="0" xfId="0" applyNumberFormat="1" applyFont="1" applyAlignment="1">
      <alignment vertical="center"/>
    </xf>
    <xf numFmtId="0" fontId="5" fillId="0" borderId="0" xfId="0" applyFont="1" applyAlignment="1">
      <alignment vertical="center" wrapText="1"/>
    </xf>
    <xf numFmtId="0" fontId="5" fillId="0" borderId="12" xfId="0" applyFont="1" applyBorder="1" applyAlignment="1">
      <alignment vertical="center"/>
    </xf>
    <xf numFmtId="0" fontId="5" fillId="0" borderId="11" xfId="0" applyFont="1" applyBorder="1" applyAlignment="1">
      <alignment vertical="center"/>
    </xf>
    <xf numFmtId="0" fontId="5" fillId="0" borderId="11" xfId="0" applyFont="1" applyBorder="1" applyAlignment="1">
      <alignment horizontal="center" vertical="center"/>
    </xf>
    <xf numFmtId="0" fontId="5" fillId="0" borderId="9" xfId="0" applyFont="1" applyBorder="1" applyAlignment="1">
      <alignment horizontal="center" vertical="center" wrapText="1"/>
    </xf>
    <xf numFmtId="0" fontId="3" fillId="0" borderId="0" xfId="0" applyFont="1" applyAlignment="1">
      <alignment vertical="center" wrapText="1"/>
    </xf>
    <xf numFmtId="0" fontId="3" fillId="0" borderId="22" xfId="0" applyFont="1" applyBorder="1" applyAlignment="1">
      <alignment vertical="center" wrapText="1"/>
    </xf>
    <xf numFmtId="0" fontId="3" fillId="0" borderId="23" xfId="0" applyFont="1" applyBorder="1" applyAlignment="1">
      <alignment vertical="center" wrapText="1"/>
    </xf>
    <xf numFmtId="0" fontId="3" fillId="0" borderId="24" xfId="0" applyFont="1" applyBorder="1" applyAlignment="1">
      <alignment horizontal="center" vertical="center" wrapText="1"/>
    </xf>
    <xf numFmtId="3" fontId="3" fillId="0" borderId="25" xfId="0" applyNumberFormat="1" applyFont="1" applyBorder="1" applyAlignment="1">
      <alignment horizontal="center" vertical="center" wrapText="1"/>
    </xf>
    <xf numFmtId="164" fontId="3" fillId="0" borderId="24" xfId="0" applyNumberFormat="1" applyFont="1" applyBorder="1" applyAlignment="1">
      <alignment horizontal="left" vertical="center" wrapText="1"/>
    </xf>
    <xf numFmtId="164" fontId="3" fillId="0" borderId="24" xfId="0" applyNumberFormat="1" applyFont="1" applyBorder="1" applyAlignment="1">
      <alignment horizontal="right" vertical="center" wrapText="1"/>
    </xf>
    <xf numFmtId="165" fontId="3" fillId="0" borderId="25" xfId="0" applyNumberFormat="1" applyFont="1" applyBorder="1" applyAlignment="1">
      <alignment horizontal="right" vertical="center" wrapText="1"/>
    </xf>
    <xf numFmtId="165" fontId="3" fillId="0" borderId="26" xfId="0" applyNumberFormat="1" applyFont="1" applyBorder="1" applyAlignment="1">
      <alignment horizontal="right" vertical="center" wrapText="1"/>
    </xf>
    <xf numFmtId="0" fontId="3" fillId="0" borderId="9" xfId="0" applyFont="1" applyBorder="1" applyAlignment="1">
      <alignment vertical="center" wrapText="1"/>
    </xf>
    <xf numFmtId="0" fontId="3" fillId="0" borderId="9" xfId="0" applyFont="1" applyBorder="1" applyAlignment="1">
      <alignment horizontal="center" vertical="center" wrapText="1"/>
    </xf>
    <xf numFmtId="0" fontId="3" fillId="0" borderId="28" xfId="0" applyFont="1" applyBorder="1" applyAlignment="1">
      <alignment vertical="center" wrapText="1"/>
    </xf>
    <xf numFmtId="0" fontId="3" fillId="0" borderId="8" xfId="0" applyFont="1" applyBorder="1" applyAlignment="1">
      <alignment vertical="center" wrapText="1"/>
    </xf>
    <xf numFmtId="3" fontId="3" fillId="0" borderId="29" xfId="0" applyNumberFormat="1" applyFont="1" applyBorder="1" applyAlignment="1">
      <alignment horizontal="center" vertical="center" wrapText="1"/>
    </xf>
    <xf numFmtId="0" fontId="3" fillId="0" borderId="30" xfId="0" applyFont="1" applyBorder="1" applyAlignment="1">
      <alignment vertical="center" wrapText="1"/>
    </xf>
    <xf numFmtId="164" fontId="3" fillId="0" borderId="9" xfId="0" applyNumberFormat="1" applyFont="1" applyBorder="1" applyAlignment="1">
      <alignment horizontal="left" vertical="center" wrapText="1"/>
    </xf>
    <xf numFmtId="164" fontId="3" fillId="0" borderId="9" xfId="0" applyNumberFormat="1" applyFont="1" applyBorder="1" applyAlignment="1">
      <alignment horizontal="right" vertical="center" wrapText="1"/>
    </xf>
    <xf numFmtId="165" fontId="3" fillId="0" borderId="29" xfId="0" applyNumberFormat="1" applyFont="1" applyBorder="1" applyAlignment="1">
      <alignment horizontal="right" vertical="center" wrapText="1"/>
    </xf>
    <xf numFmtId="0" fontId="3" fillId="0" borderId="30" xfId="0" applyFont="1" applyBorder="1" applyAlignment="1">
      <alignment vertical="center" wrapText="1"/>
    </xf>
    <xf numFmtId="165" fontId="3" fillId="0" borderId="31" xfId="0" applyNumberFormat="1" applyFont="1" applyBorder="1" applyAlignment="1">
      <alignment horizontal="right" vertical="center" wrapText="1"/>
    </xf>
    <xf numFmtId="0" fontId="3" fillId="0" borderId="32" xfId="0" applyFont="1" applyBorder="1" applyAlignment="1">
      <alignment vertical="center" wrapText="1"/>
    </xf>
    <xf numFmtId="0" fontId="3" fillId="0" borderId="34" xfId="0" applyFont="1" applyBorder="1" applyAlignment="1">
      <alignment vertical="center" wrapText="1"/>
    </xf>
    <xf numFmtId="0" fontId="3" fillId="0" borderId="35" xfId="0" applyFont="1" applyBorder="1" applyAlignment="1">
      <alignment vertical="center" wrapText="1"/>
    </xf>
    <xf numFmtId="0" fontId="3" fillId="0" borderId="36" xfId="0" applyFont="1" applyBorder="1" applyAlignment="1">
      <alignment horizontal="center" vertical="center" wrapText="1"/>
    </xf>
    <xf numFmtId="3" fontId="3" fillId="0" borderId="37" xfId="0" applyNumberFormat="1" applyFont="1" applyBorder="1" applyAlignment="1">
      <alignment horizontal="center" vertical="center" wrapText="1"/>
    </xf>
    <xf numFmtId="164" fontId="3" fillId="0" borderId="36" xfId="0" applyNumberFormat="1" applyFont="1" applyBorder="1" applyAlignment="1">
      <alignment horizontal="left" vertical="center" wrapText="1"/>
    </xf>
    <xf numFmtId="164" fontId="3" fillId="0" borderId="36" xfId="0" applyNumberFormat="1" applyFont="1" applyBorder="1" applyAlignment="1">
      <alignment horizontal="right" vertical="center" wrapText="1"/>
    </xf>
    <xf numFmtId="165" fontId="3" fillId="0" borderId="37" xfId="0" applyNumberFormat="1" applyFont="1" applyBorder="1" applyAlignment="1">
      <alignment horizontal="right" vertical="center" wrapText="1"/>
    </xf>
    <xf numFmtId="0" fontId="3" fillId="0" borderId="35" xfId="0" applyFont="1" applyBorder="1" applyAlignment="1">
      <alignment vertical="center" wrapText="1"/>
    </xf>
    <xf numFmtId="165" fontId="3" fillId="0" borderId="38" xfId="0" applyNumberFormat="1" applyFont="1" applyBorder="1" applyAlignment="1">
      <alignment horizontal="right" vertical="center" wrapText="1"/>
    </xf>
    <xf numFmtId="0" fontId="3" fillId="0" borderId="40" xfId="0" applyFont="1" applyBorder="1" applyAlignment="1">
      <alignment horizontal="center" vertical="center" wrapText="1"/>
    </xf>
    <xf numFmtId="3" fontId="3" fillId="0" borderId="41" xfId="0" applyNumberFormat="1" applyFont="1" applyBorder="1" applyAlignment="1">
      <alignment horizontal="center" vertical="center" wrapText="1"/>
    </xf>
    <xf numFmtId="164" fontId="3" fillId="0" borderId="40" xfId="0" applyNumberFormat="1" applyFont="1" applyBorder="1" applyAlignment="1">
      <alignment horizontal="left" vertical="center" wrapText="1"/>
    </xf>
    <xf numFmtId="164" fontId="3" fillId="0" borderId="40" xfId="0" applyNumberFormat="1" applyFont="1" applyBorder="1" applyAlignment="1">
      <alignment horizontal="right" vertical="center" wrapText="1"/>
    </xf>
    <xf numFmtId="165" fontId="3" fillId="0" borderId="41" xfId="0" applyNumberFormat="1" applyFont="1" applyBorder="1" applyAlignment="1">
      <alignment horizontal="right" vertical="center" wrapText="1"/>
    </xf>
    <xf numFmtId="0" fontId="3" fillId="0" borderId="8" xfId="0" applyFont="1" applyBorder="1" applyAlignment="1">
      <alignment vertical="center" wrapText="1"/>
    </xf>
    <xf numFmtId="165" fontId="3" fillId="0" borderId="42" xfId="0" applyNumberFormat="1" applyFont="1" applyBorder="1" applyAlignment="1">
      <alignment horizontal="right" vertical="center" wrapText="1"/>
    </xf>
    <xf numFmtId="0" fontId="3" fillId="0" borderId="45" xfId="0" applyFont="1" applyBorder="1" applyAlignment="1">
      <alignment vertical="center" wrapText="1"/>
    </xf>
    <xf numFmtId="0" fontId="3" fillId="0" borderId="3" xfId="0" applyFont="1" applyBorder="1" applyAlignment="1">
      <alignment vertical="center" wrapText="1"/>
    </xf>
    <xf numFmtId="0" fontId="3" fillId="0" borderId="46" xfId="0" applyFont="1" applyBorder="1" applyAlignment="1">
      <alignment horizontal="center" vertical="center" wrapText="1"/>
    </xf>
    <xf numFmtId="3" fontId="3" fillId="0" borderId="47" xfId="0" applyNumberFormat="1" applyFont="1" applyBorder="1" applyAlignment="1">
      <alignment horizontal="center" vertical="center" wrapText="1"/>
    </xf>
    <xf numFmtId="164" fontId="3" fillId="0" borderId="46" xfId="0" applyNumberFormat="1" applyFont="1" applyBorder="1" applyAlignment="1">
      <alignment horizontal="left" vertical="center" wrapText="1"/>
    </xf>
    <xf numFmtId="164" fontId="3" fillId="0" borderId="46" xfId="0" applyNumberFormat="1" applyFont="1" applyBorder="1" applyAlignment="1">
      <alignment horizontal="right" vertical="center" wrapText="1"/>
    </xf>
    <xf numFmtId="165" fontId="3" fillId="0" borderId="47" xfId="0" applyNumberFormat="1" applyFont="1" applyBorder="1" applyAlignment="1">
      <alignment horizontal="right" vertical="center" wrapText="1"/>
    </xf>
    <xf numFmtId="165" fontId="3" fillId="0" borderId="48" xfId="0" applyNumberFormat="1" applyFont="1" applyBorder="1" applyAlignment="1">
      <alignment horizontal="right" vertical="center" wrapText="1"/>
    </xf>
    <xf numFmtId="0" fontId="3" fillId="0" borderId="50" xfId="0" applyFont="1" applyBorder="1" applyAlignment="1">
      <alignment vertical="center" wrapText="1"/>
    </xf>
    <xf numFmtId="0" fontId="3" fillId="0" borderId="51" xfId="0" applyFont="1" applyBorder="1" applyAlignment="1">
      <alignment horizontal="center" vertical="center" wrapText="1"/>
    </xf>
    <xf numFmtId="3" fontId="3" fillId="0" borderId="52" xfId="0" applyNumberFormat="1" applyFont="1" applyBorder="1" applyAlignment="1">
      <alignment horizontal="center" vertical="center" wrapText="1"/>
    </xf>
    <xf numFmtId="164" fontId="3" fillId="0" borderId="51" xfId="0" applyNumberFormat="1" applyFont="1" applyBorder="1" applyAlignment="1">
      <alignment horizontal="right" vertical="center" wrapText="1"/>
    </xf>
    <xf numFmtId="165" fontId="3" fillId="0" borderId="52" xfId="0" applyNumberFormat="1" applyFont="1" applyBorder="1" applyAlignment="1">
      <alignment horizontal="right" vertical="center" wrapText="1"/>
    </xf>
    <xf numFmtId="165" fontId="3" fillId="0" borderId="53" xfId="0" applyNumberFormat="1" applyFont="1" applyBorder="1" applyAlignment="1">
      <alignment horizontal="right" vertical="center" wrapText="1"/>
    </xf>
    <xf numFmtId="0" fontId="3" fillId="0" borderId="54" xfId="0" applyFont="1" applyBorder="1" applyAlignment="1">
      <alignment vertical="center" wrapText="1"/>
    </xf>
    <xf numFmtId="0" fontId="3" fillId="0" borderId="5" xfId="0" applyFont="1" applyBorder="1" applyAlignment="1">
      <alignment vertical="center" wrapText="1"/>
    </xf>
    <xf numFmtId="164" fontId="3" fillId="0" borderId="55" xfId="0" applyNumberFormat="1" applyFont="1" applyBorder="1" applyAlignment="1">
      <alignment horizontal="left" vertical="center" wrapText="1"/>
    </xf>
    <xf numFmtId="164" fontId="3" fillId="0" borderId="55" xfId="0" applyNumberFormat="1" applyFont="1" applyBorder="1" applyAlignment="1">
      <alignment horizontal="right" vertical="center" wrapText="1"/>
    </xf>
    <xf numFmtId="165" fontId="3" fillId="0" borderId="56" xfId="0" applyNumberFormat="1" applyFont="1" applyBorder="1" applyAlignment="1">
      <alignment horizontal="right" vertical="center" wrapText="1"/>
    </xf>
    <xf numFmtId="165" fontId="3" fillId="0" borderId="57" xfId="0" applyNumberFormat="1" applyFont="1" applyBorder="1" applyAlignment="1">
      <alignment horizontal="right" vertical="center" wrapText="1"/>
    </xf>
    <xf numFmtId="0" fontId="3" fillId="7" borderId="0" xfId="0" applyFont="1" applyFill="1" applyAlignment="1">
      <alignment vertical="center" wrapText="1"/>
    </xf>
    <xf numFmtId="3" fontId="3" fillId="0" borderId="0" xfId="0" applyNumberFormat="1" applyFont="1" applyAlignment="1">
      <alignment horizontal="center" vertical="center"/>
    </xf>
    <xf numFmtId="0" fontId="3" fillId="0" borderId="0" xfId="0" applyFont="1" applyAlignment="1">
      <alignment horizontal="left" vertical="center"/>
    </xf>
    <xf numFmtId="165" fontId="3" fillId="0" borderId="0" xfId="0" applyNumberFormat="1" applyFont="1" applyAlignment="1">
      <alignment vertical="center"/>
    </xf>
    <xf numFmtId="0" fontId="3" fillId="0" borderId="0" xfId="0" applyFont="1" applyAlignment="1">
      <alignment horizontal="center" vertical="center"/>
    </xf>
    <xf numFmtId="0" fontId="3" fillId="0" borderId="0" xfId="0" applyFont="1" applyAlignment="1">
      <alignment vertical="center" wrapText="1"/>
    </xf>
    <xf numFmtId="0" fontId="3" fillId="0" borderId="0" xfId="0" applyFont="1" applyAlignment="1">
      <alignment horizontal="right" vertical="center"/>
    </xf>
    <xf numFmtId="0" fontId="7" fillId="0" borderId="0" xfId="0" applyFont="1" applyAlignment="1">
      <alignment vertical="center"/>
    </xf>
    <xf numFmtId="3" fontId="7" fillId="0" borderId="0" xfId="0" applyNumberFormat="1" applyFont="1" applyAlignment="1">
      <alignment vertical="center"/>
    </xf>
    <xf numFmtId="0" fontId="7" fillId="0" borderId="0" xfId="0" applyFont="1" applyAlignment="1">
      <alignment horizontal="left" vertical="center"/>
    </xf>
    <xf numFmtId="165" fontId="7" fillId="0" borderId="0" xfId="0" applyNumberFormat="1" applyFont="1" applyAlignment="1">
      <alignment vertical="center"/>
    </xf>
    <xf numFmtId="0" fontId="3" fillId="0" borderId="0" xfId="0" applyFont="1" applyAlignment="1">
      <alignment horizontal="right" vertical="center" wrapText="1"/>
    </xf>
    <xf numFmtId="164" fontId="6" fillId="0" borderId="0" xfId="0" applyNumberFormat="1" applyFont="1" applyAlignment="1">
      <alignment horizontal="right" vertical="center" wrapText="1"/>
    </xf>
    <xf numFmtId="0" fontId="3" fillId="0" borderId="59" xfId="0" applyFont="1" applyBorder="1" applyAlignment="1">
      <alignment vertical="center" wrapText="1"/>
    </xf>
    <xf numFmtId="0" fontId="3" fillId="0" borderId="60" xfId="0" applyFont="1" applyBorder="1" applyAlignment="1">
      <alignment vertical="center" wrapText="1"/>
    </xf>
    <xf numFmtId="0" fontId="3" fillId="0" borderId="60" xfId="0" applyFont="1" applyBorder="1" applyAlignment="1">
      <alignment horizontal="left" vertical="center" wrapText="1"/>
    </xf>
    <xf numFmtId="165" fontId="3" fillId="0" borderId="61" xfId="0" applyNumberFormat="1" applyFont="1" applyBorder="1" applyAlignment="1">
      <alignment horizontal="right" vertical="center" wrapText="1"/>
    </xf>
    <xf numFmtId="165" fontId="3" fillId="0" borderId="9" xfId="0" applyNumberFormat="1" applyFont="1" applyBorder="1" applyAlignment="1">
      <alignment vertical="center"/>
    </xf>
    <xf numFmtId="168" fontId="3" fillId="0" borderId="9" xfId="0" applyNumberFormat="1" applyFont="1" applyBorder="1" applyAlignment="1">
      <alignment vertical="center"/>
    </xf>
    <xf numFmtId="0" fontId="3" fillId="0" borderId="40" xfId="0" applyFont="1" applyBorder="1" applyAlignment="1">
      <alignment vertical="center" wrapText="1"/>
    </xf>
    <xf numFmtId="0" fontId="3" fillId="0" borderId="63" xfId="0" applyFont="1" applyBorder="1" applyAlignment="1">
      <alignment horizontal="left" vertical="center"/>
    </xf>
    <xf numFmtId="165" fontId="3" fillId="0" borderId="65" xfId="0" applyNumberFormat="1" applyFont="1" applyBorder="1" applyAlignment="1">
      <alignment horizontal="right" vertical="center" wrapText="1"/>
    </xf>
    <xf numFmtId="0" fontId="3" fillId="0" borderId="9" xfId="0" applyFont="1" applyBorder="1" applyAlignment="1">
      <alignment vertical="center" wrapText="1"/>
    </xf>
    <xf numFmtId="165" fontId="3" fillId="0" borderId="69" xfId="0" applyNumberFormat="1" applyFont="1" applyBorder="1" applyAlignment="1">
      <alignment horizontal="right" vertical="center"/>
    </xf>
    <xf numFmtId="0" fontId="3" fillId="0" borderId="7" xfId="0" applyFont="1" applyBorder="1" applyAlignment="1">
      <alignment vertical="center" wrapText="1"/>
    </xf>
    <xf numFmtId="165" fontId="3" fillId="0" borderId="69" xfId="0" applyNumberFormat="1" applyFont="1" applyBorder="1" applyAlignment="1">
      <alignment horizontal="right" vertical="center" wrapText="1"/>
    </xf>
    <xf numFmtId="165" fontId="3" fillId="0" borderId="70" xfId="0" applyNumberFormat="1" applyFont="1" applyBorder="1" applyAlignment="1">
      <alignment horizontal="right" vertical="center" wrapText="1"/>
    </xf>
    <xf numFmtId="0" fontId="3" fillId="0" borderId="7" xfId="0" applyFont="1" applyBorder="1" applyAlignment="1">
      <alignment vertical="center" wrapText="1"/>
    </xf>
    <xf numFmtId="0" fontId="3" fillId="0" borderId="40" xfId="0" applyFont="1" applyBorder="1" applyAlignment="1">
      <alignment horizontal="left" vertical="center" wrapText="1"/>
    </xf>
    <xf numFmtId="0" fontId="3" fillId="0" borderId="40" xfId="0" applyFont="1" applyBorder="1" applyAlignment="1">
      <alignment vertical="center" wrapText="1"/>
    </xf>
    <xf numFmtId="167" fontId="3" fillId="0" borderId="0" xfId="0" applyNumberFormat="1" applyFont="1" applyAlignment="1">
      <alignment horizontal="center" vertical="center" wrapText="1"/>
    </xf>
    <xf numFmtId="165" fontId="3" fillId="0" borderId="71" xfId="0" applyNumberFormat="1" applyFont="1" applyBorder="1" applyAlignment="1">
      <alignment horizontal="right" vertical="center"/>
    </xf>
    <xf numFmtId="0" fontId="3" fillId="0" borderId="55" xfId="0" applyFont="1" applyBorder="1" applyAlignment="1">
      <alignment vertical="center" wrapText="1"/>
    </xf>
    <xf numFmtId="165" fontId="3" fillId="0" borderId="71" xfId="0" applyNumberFormat="1" applyFont="1" applyBorder="1" applyAlignment="1">
      <alignment horizontal="right" vertical="center" wrapText="1"/>
    </xf>
    <xf numFmtId="165" fontId="3" fillId="0" borderId="72" xfId="0" applyNumberFormat="1" applyFont="1" applyBorder="1" applyAlignment="1">
      <alignment horizontal="right" vertical="center" wrapText="1"/>
    </xf>
    <xf numFmtId="165" fontId="3" fillId="0" borderId="65" xfId="0" applyNumberFormat="1" applyFont="1" applyBorder="1" applyAlignment="1">
      <alignment horizontal="right" vertical="center"/>
    </xf>
    <xf numFmtId="0" fontId="3" fillId="0" borderId="74" xfId="0" applyFont="1" applyBorder="1" applyAlignment="1">
      <alignment horizontal="left" vertical="center"/>
    </xf>
    <xf numFmtId="165" fontId="3" fillId="0" borderId="75" xfId="0" applyNumberFormat="1" applyFont="1" applyBorder="1" applyAlignment="1">
      <alignment vertical="center"/>
    </xf>
    <xf numFmtId="165" fontId="3" fillId="0" borderId="75" xfId="0" applyNumberFormat="1" applyFont="1" applyBorder="1" applyAlignment="1">
      <alignment horizontal="right" vertical="center"/>
    </xf>
    <xf numFmtId="0" fontId="3" fillId="0" borderId="73" xfId="0" applyFont="1" applyBorder="1" applyAlignment="1">
      <alignment vertical="center" wrapText="1"/>
    </xf>
    <xf numFmtId="165" fontId="3" fillId="0" borderId="75" xfId="0" applyNumberFormat="1" applyFont="1" applyBorder="1" applyAlignment="1">
      <alignment horizontal="right" vertical="center" wrapText="1"/>
    </xf>
    <xf numFmtId="165" fontId="3" fillId="0" borderId="77" xfId="0" applyNumberFormat="1" applyFont="1" applyBorder="1" applyAlignment="1">
      <alignment horizontal="right" vertical="center" wrapText="1"/>
    </xf>
    <xf numFmtId="167" fontId="3" fillId="0" borderId="0" xfId="0" applyNumberFormat="1" applyFont="1" applyAlignment="1">
      <alignment horizontal="center" vertical="center"/>
    </xf>
    <xf numFmtId="0" fontId="3" fillId="0" borderId="55" xfId="0" applyFont="1" applyBorder="1" applyAlignment="1">
      <alignment horizontal="left" vertical="center"/>
    </xf>
    <xf numFmtId="165" fontId="3" fillId="0" borderId="0" xfId="0" applyNumberFormat="1" applyFont="1" applyAlignment="1">
      <alignment horizontal="right" vertical="center" wrapText="1"/>
    </xf>
    <xf numFmtId="0" fontId="3" fillId="0" borderId="63" xfId="0" applyFont="1" applyBorder="1" applyAlignment="1">
      <alignment vertical="center" wrapText="1"/>
    </xf>
    <xf numFmtId="0" fontId="3" fillId="0" borderId="64" xfId="0" applyFont="1" applyBorder="1" applyAlignment="1">
      <alignment vertical="center"/>
    </xf>
    <xf numFmtId="43" fontId="3" fillId="0" borderId="64" xfId="0" applyNumberFormat="1" applyFont="1" applyBorder="1" applyAlignment="1">
      <alignment vertical="center"/>
    </xf>
    <xf numFmtId="0" fontId="3" fillId="0" borderId="64" xfId="0" applyFont="1" applyBorder="1" applyAlignment="1">
      <alignment vertical="center" wrapText="1"/>
    </xf>
    <xf numFmtId="0" fontId="3" fillId="0" borderId="7" xfId="0" applyFont="1" applyBorder="1" applyAlignment="1">
      <alignment vertical="center"/>
    </xf>
    <xf numFmtId="169" fontId="3" fillId="0" borderId="40" xfId="0" applyNumberFormat="1" applyFont="1" applyBorder="1" applyAlignment="1">
      <alignment horizontal="left" vertical="center"/>
    </xf>
    <xf numFmtId="43" fontId="3" fillId="0" borderId="7" xfId="0" applyNumberFormat="1" applyFont="1" applyBorder="1" applyAlignment="1">
      <alignment vertical="center"/>
    </xf>
    <xf numFmtId="0" fontId="3" fillId="0" borderId="40" xfId="0" applyFont="1" applyBorder="1" applyAlignment="1">
      <alignment horizontal="left" vertical="center"/>
    </xf>
    <xf numFmtId="43" fontId="3" fillId="0" borderId="0" xfId="0" applyNumberFormat="1" applyFont="1" applyAlignment="1">
      <alignment vertical="center"/>
    </xf>
    <xf numFmtId="0" fontId="3" fillId="0" borderId="63" xfId="0" applyFont="1" applyBorder="1" applyAlignment="1">
      <alignment vertical="center"/>
    </xf>
    <xf numFmtId="168" fontId="3" fillId="4" borderId="9" xfId="0" applyNumberFormat="1" applyFont="1" applyFill="1" applyBorder="1" applyAlignment="1">
      <alignment vertical="center"/>
    </xf>
    <xf numFmtId="0" fontId="3" fillId="9" borderId="55" xfId="0" applyFont="1" applyFill="1" applyBorder="1" applyAlignment="1">
      <alignment vertical="center" wrapText="1"/>
    </xf>
    <xf numFmtId="0" fontId="3" fillId="9" borderId="0" xfId="0" applyFont="1" applyFill="1" applyAlignment="1">
      <alignment vertical="center"/>
    </xf>
    <xf numFmtId="0" fontId="3" fillId="9" borderId="55" xfId="0" applyFont="1" applyFill="1" applyBorder="1" applyAlignment="1">
      <alignment horizontal="left" vertical="center"/>
    </xf>
    <xf numFmtId="43" fontId="3" fillId="9" borderId="0" xfId="0" applyNumberFormat="1" applyFont="1" applyFill="1" applyAlignment="1">
      <alignment vertical="center"/>
    </xf>
    <xf numFmtId="165" fontId="3" fillId="9" borderId="71" xfId="0" applyNumberFormat="1" applyFont="1" applyFill="1" applyBorder="1" applyAlignment="1">
      <alignment horizontal="right" vertical="center"/>
    </xf>
    <xf numFmtId="165" fontId="3" fillId="9" borderId="71" xfId="0" applyNumberFormat="1" applyFont="1" applyFill="1" applyBorder="1" applyAlignment="1">
      <alignment horizontal="right" vertical="center" wrapText="1"/>
    </xf>
    <xf numFmtId="165" fontId="3" fillId="9" borderId="72" xfId="0" applyNumberFormat="1" applyFont="1" applyFill="1" applyBorder="1" applyAlignment="1">
      <alignment horizontal="right" vertical="center" wrapText="1"/>
    </xf>
    <xf numFmtId="43" fontId="3" fillId="0" borderId="73" xfId="0" applyNumberFormat="1" applyFont="1" applyBorder="1" applyAlignment="1">
      <alignment vertical="center"/>
    </xf>
    <xf numFmtId="164" fontId="3" fillId="0" borderId="74" xfId="0" applyNumberFormat="1" applyFont="1" applyBorder="1" applyAlignment="1">
      <alignment horizontal="right" vertical="center" wrapText="1"/>
    </xf>
    <xf numFmtId="0" fontId="3" fillId="0" borderId="78" xfId="0" applyFont="1" applyBorder="1" applyAlignment="1">
      <alignment vertical="center" wrapText="1"/>
    </xf>
    <xf numFmtId="0" fontId="3" fillId="0" borderId="78" xfId="0" applyFont="1" applyBorder="1" applyAlignment="1">
      <alignment horizontal="left" vertical="center"/>
    </xf>
    <xf numFmtId="43" fontId="3" fillId="0" borderId="79" xfId="0" applyNumberFormat="1" applyFont="1" applyBorder="1" applyAlignment="1">
      <alignment vertical="center"/>
    </xf>
    <xf numFmtId="165" fontId="3" fillId="0" borderId="80" xfId="0" applyNumberFormat="1" applyFont="1" applyBorder="1" applyAlignment="1">
      <alignment horizontal="right" vertical="center"/>
    </xf>
    <xf numFmtId="0" fontId="3" fillId="0" borderId="79" xfId="0" applyFont="1" applyBorder="1" applyAlignment="1">
      <alignment vertical="center" wrapText="1"/>
    </xf>
    <xf numFmtId="165" fontId="3" fillId="0" borderId="80" xfId="0" applyNumberFormat="1" applyFont="1" applyBorder="1" applyAlignment="1">
      <alignment horizontal="right" vertical="center" wrapText="1"/>
    </xf>
    <xf numFmtId="165" fontId="3" fillId="0" borderId="82" xfId="0" applyNumberFormat="1" applyFont="1" applyBorder="1" applyAlignment="1">
      <alignment horizontal="right" vertical="center" wrapText="1"/>
    </xf>
    <xf numFmtId="0" fontId="3" fillId="0" borderId="74" xfId="0" applyFont="1" applyBorder="1" applyAlignment="1">
      <alignment vertical="center" wrapText="1"/>
    </xf>
    <xf numFmtId="165" fontId="3" fillId="0" borderId="41" xfId="0" applyNumberFormat="1" applyFont="1" applyBorder="1" applyAlignment="1">
      <alignment horizontal="right" vertical="center"/>
    </xf>
    <xf numFmtId="0" fontId="3" fillId="0" borderId="83" xfId="0" applyFont="1" applyBorder="1" applyAlignment="1">
      <alignment vertical="center" wrapText="1"/>
    </xf>
    <xf numFmtId="165" fontId="3" fillId="0" borderId="29" xfId="0" applyNumberFormat="1" applyFont="1" applyBorder="1" applyAlignment="1">
      <alignment horizontal="right" vertical="center"/>
    </xf>
    <xf numFmtId="0" fontId="3" fillId="0" borderId="85" xfId="0" applyFont="1" applyBorder="1" applyAlignment="1">
      <alignment vertical="center" wrapText="1"/>
    </xf>
    <xf numFmtId="165" fontId="3" fillId="0" borderId="37" xfId="0" applyNumberFormat="1" applyFont="1" applyBorder="1" applyAlignment="1">
      <alignment horizontal="right" vertical="center"/>
    </xf>
    <xf numFmtId="168" fontId="3" fillId="0" borderId="46" xfId="0" applyNumberFormat="1" applyFont="1" applyBorder="1" applyAlignment="1">
      <alignment vertical="center"/>
    </xf>
    <xf numFmtId="164" fontId="3" fillId="0" borderId="0" xfId="0" applyNumberFormat="1" applyFont="1" applyAlignment="1">
      <alignment vertical="center"/>
    </xf>
    <xf numFmtId="164" fontId="3" fillId="0" borderId="0" xfId="0" applyNumberFormat="1" applyFont="1" applyAlignment="1">
      <alignment vertical="center"/>
    </xf>
    <xf numFmtId="3" fontId="3" fillId="0" borderId="0" xfId="0" applyNumberFormat="1" applyFont="1" applyAlignment="1">
      <alignment horizontal="left" vertical="center"/>
    </xf>
    <xf numFmtId="164" fontId="3" fillId="0" borderId="0" xfId="0" applyNumberFormat="1" applyFont="1" applyAlignment="1">
      <alignment horizontal="right" vertical="center"/>
    </xf>
    <xf numFmtId="165" fontId="3" fillId="0" borderId="9" xfId="0" applyNumberFormat="1" applyFont="1" applyBorder="1" applyAlignment="1">
      <alignment vertical="center"/>
    </xf>
    <xf numFmtId="165" fontId="3" fillId="4" borderId="9" xfId="0" applyNumberFormat="1" applyFont="1" applyFill="1" applyBorder="1" applyAlignment="1">
      <alignment vertical="center"/>
    </xf>
    <xf numFmtId="0" fontId="3" fillId="0" borderId="0" xfId="0" applyFont="1" applyAlignment="1">
      <alignment vertical="center"/>
    </xf>
    <xf numFmtId="0" fontId="5" fillId="0" borderId="0" xfId="0" applyFont="1" applyAlignment="1">
      <alignment vertical="center"/>
    </xf>
    <xf numFmtId="0" fontId="1" fillId="0" borderId="0" xfId="0" applyFont="1" applyAlignment="1"/>
    <xf numFmtId="0" fontId="3" fillId="0" borderId="0" xfId="0" applyFont="1" applyAlignment="1">
      <alignment horizontal="center" vertical="center"/>
    </xf>
    <xf numFmtId="0" fontId="4"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xf numFmtId="0" fontId="4" fillId="0" borderId="0" xfId="0" applyFont="1" applyAlignment="1">
      <alignment horizontal="center" vertical="center" wrapText="1"/>
    </xf>
    <xf numFmtId="165" fontId="3" fillId="0" borderId="71" xfId="0" applyNumberFormat="1" applyFont="1" applyBorder="1" applyAlignment="1">
      <alignment horizontal="right" vertical="center"/>
    </xf>
    <xf numFmtId="172" fontId="3" fillId="4" borderId="89" xfId="0" applyNumberFormat="1" applyFont="1" applyFill="1" applyBorder="1" applyAlignment="1">
      <alignment vertical="center" wrapText="1"/>
    </xf>
    <xf numFmtId="173" fontId="8" fillId="4" borderId="89" xfId="0" applyNumberFormat="1" applyFont="1" applyFill="1" applyBorder="1" applyAlignment="1">
      <alignment horizontal="right" wrapText="1"/>
    </xf>
    <xf numFmtId="3" fontId="5" fillId="0" borderId="0" xfId="0" applyNumberFormat="1" applyFont="1" applyAlignment="1">
      <alignment horizontal="center" vertical="center"/>
    </xf>
    <xf numFmtId="165" fontId="5" fillId="0" borderId="0" xfId="0" applyNumberFormat="1" applyFont="1" applyAlignment="1">
      <alignment vertical="center"/>
    </xf>
    <xf numFmtId="165" fontId="5" fillId="0" borderId="0" xfId="0" applyNumberFormat="1" applyFont="1" applyAlignment="1">
      <alignment horizontal="right" vertical="center"/>
    </xf>
    <xf numFmtId="164" fontId="5" fillId="0" borderId="0" xfId="0" applyNumberFormat="1" applyFont="1" applyAlignment="1">
      <alignment vertical="center"/>
    </xf>
    <xf numFmtId="1" fontId="9" fillId="0" borderId="0" xfId="0" applyNumberFormat="1" applyFont="1" applyAlignment="1">
      <alignment horizontal="center" vertical="center"/>
    </xf>
    <xf numFmtId="0" fontId="3" fillId="0" borderId="90" xfId="0" applyFont="1" applyBorder="1" applyAlignment="1">
      <alignment vertical="center" wrapText="1"/>
    </xf>
    <xf numFmtId="0" fontId="3" fillId="0" borderId="11" xfId="0" applyFont="1" applyBorder="1" applyAlignment="1">
      <alignment vertical="center" wrapText="1"/>
    </xf>
    <xf numFmtId="3" fontId="5" fillId="0" borderId="13" xfId="0" applyNumberFormat="1" applyFont="1" applyBorder="1" applyAlignment="1">
      <alignment horizontal="center" vertical="center"/>
    </xf>
    <xf numFmtId="165" fontId="5" fillId="0" borderId="11" xfId="0" applyNumberFormat="1" applyFont="1" applyBorder="1" applyAlignment="1">
      <alignment horizontal="right" vertical="center"/>
    </xf>
    <xf numFmtId="0" fontId="5" fillId="0" borderId="21" xfId="0" applyFont="1" applyBorder="1" applyAlignment="1">
      <alignment vertical="center" wrapText="1"/>
    </xf>
    <xf numFmtId="0" fontId="5" fillId="0" borderId="91" xfId="0" applyFont="1" applyBorder="1" applyAlignment="1">
      <alignment vertical="center" wrapText="1"/>
    </xf>
    <xf numFmtId="0" fontId="5" fillId="0" borderId="92" xfId="0" applyFont="1" applyBorder="1" applyAlignment="1">
      <alignment vertical="center"/>
    </xf>
    <xf numFmtId="0" fontId="5" fillId="0" borderId="93" xfId="0" applyFont="1" applyBorder="1" applyAlignment="1">
      <alignment vertical="center" wrapText="1"/>
    </xf>
    <xf numFmtId="0" fontId="5" fillId="0" borderId="94" xfId="0" applyFont="1" applyBorder="1" applyAlignment="1">
      <alignment horizontal="center" vertical="center" wrapText="1"/>
    </xf>
    <xf numFmtId="0" fontId="5" fillId="0" borderId="95" xfId="0" applyFont="1" applyBorder="1" applyAlignment="1">
      <alignment horizontal="center" vertical="center" wrapText="1"/>
    </xf>
    <xf numFmtId="3" fontId="5" fillId="0" borderId="94" xfId="0" applyNumberFormat="1" applyFont="1" applyBorder="1" applyAlignment="1">
      <alignment horizontal="center" vertical="center" wrapText="1"/>
    </xf>
    <xf numFmtId="0" fontId="5" fillId="0" borderId="96" xfId="0" applyFont="1" applyBorder="1" applyAlignment="1">
      <alignment vertical="center" wrapText="1"/>
    </xf>
    <xf numFmtId="0" fontId="5" fillId="0" borderId="95" xfId="0" applyFont="1" applyBorder="1" applyAlignment="1">
      <alignment horizontal="left" vertical="center"/>
    </xf>
    <xf numFmtId="164" fontId="5" fillId="0" borderId="93" xfId="0" applyNumberFormat="1" applyFont="1" applyBorder="1" applyAlignment="1">
      <alignment horizontal="center" vertical="center" wrapText="1"/>
    </xf>
    <xf numFmtId="165" fontId="5" fillId="0" borderId="92" xfId="0" applyNumberFormat="1" applyFont="1" applyBorder="1" applyAlignment="1">
      <alignment horizontal="center" vertical="center" wrapText="1"/>
    </xf>
    <xf numFmtId="0" fontId="5" fillId="0" borderId="92" xfId="0" applyFont="1" applyBorder="1" applyAlignment="1">
      <alignment horizontal="center" vertical="center" wrapText="1"/>
    </xf>
    <xf numFmtId="165" fontId="5" fillId="0" borderId="94" xfId="0" applyNumberFormat="1" applyFont="1" applyBorder="1" applyAlignment="1">
      <alignment horizontal="right" vertical="center" wrapText="1"/>
    </xf>
    <xf numFmtId="0" fontId="5" fillId="0" borderId="96" xfId="0" applyFont="1" applyBorder="1" applyAlignment="1">
      <alignment horizontal="center" vertical="center"/>
    </xf>
    <xf numFmtId="0" fontId="5" fillId="0" borderId="95" xfId="0" applyFont="1" applyBorder="1" applyAlignment="1">
      <alignment horizontal="center" vertical="center"/>
    </xf>
    <xf numFmtId="164" fontId="5" fillId="0" borderId="94" xfId="0" applyNumberFormat="1" applyFont="1" applyBorder="1" applyAlignment="1">
      <alignment horizontal="center" vertical="center"/>
    </xf>
    <xf numFmtId="0" fontId="5" fillId="0" borderId="96" xfId="0" applyFont="1" applyBorder="1" applyAlignment="1">
      <alignment horizontal="center" vertical="center" wrapText="1"/>
    </xf>
    <xf numFmtId="164" fontId="5" fillId="0" borderId="93" xfId="0" applyNumberFormat="1" applyFont="1" applyBorder="1" applyAlignment="1">
      <alignment horizontal="center" vertical="center" wrapText="1"/>
    </xf>
    <xf numFmtId="164" fontId="5" fillId="0" borderId="97" xfId="0" applyNumberFormat="1" applyFont="1" applyBorder="1" applyAlignment="1">
      <alignment horizontal="center" vertical="center"/>
    </xf>
    <xf numFmtId="0" fontId="5" fillId="0" borderId="0" xfId="0" applyFont="1" applyAlignment="1">
      <alignment horizontal="center" vertical="center" wrapText="1"/>
    </xf>
    <xf numFmtId="0" fontId="5" fillId="0" borderId="46" xfId="0" applyFont="1" applyBorder="1" applyAlignment="1">
      <alignment horizontal="center" vertical="center" wrapText="1"/>
    </xf>
    <xf numFmtId="0" fontId="6" fillId="0" borderId="0" xfId="0" applyFont="1" applyAlignment="1">
      <alignment vertical="center"/>
    </xf>
    <xf numFmtId="0" fontId="6" fillId="0" borderId="0" xfId="0" applyFont="1" applyAlignment="1">
      <alignment vertical="center" wrapText="1"/>
    </xf>
    <xf numFmtId="0" fontId="6" fillId="0" borderId="0" xfId="0" applyFont="1" applyAlignment="1">
      <alignment horizontal="center" vertical="center" wrapText="1"/>
    </xf>
    <xf numFmtId="0" fontId="6" fillId="0" borderId="0" xfId="0" applyFont="1" applyAlignment="1">
      <alignment horizontal="center" vertical="center"/>
    </xf>
    <xf numFmtId="3" fontId="6" fillId="0" borderId="0" xfId="0" applyNumberFormat="1" applyFont="1" applyAlignment="1">
      <alignment horizontal="center" vertical="center"/>
    </xf>
    <xf numFmtId="0" fontId="6" fillId="0" borderId="0" xfId="0" applyFont="1" applyAlignment="1">
      <alignment horizontal="left" vertical="center" wrapText="1"/>
    </xf>
    <xf numFmtId="164" fontId="6" fillId="0" borderId="0" xfId="0" applyNumberFormat="1" applyFont="1" applyAlignment="1">
      <alignment horizontal="right" vertical="center"/>
    </xf>
    <xf numFmtId="165" fontId="6" fillId="0" borderId="0" xfId="0" applyNumberFormat="1" applyFont="1" applyAlignment="1">
      <alignment horizontal="right" vertical="center" wrapText="1"/>
    </xf>
    <xf numFmtId="165" fontId="6" fillId="0" borderId="0" xfId="0" applyNumberFormat="1" applyFont="1" applyAlignment="1">
      <alignment horizontal="right" vertical="center" wrapText="1"/>
    </xf>
    <xf numFmtId="0" fontId="6" fillId="0" borderId="0" xfId="0" applyFont="1" applyAlignment="1">
      <alignment vertical="center" wrapText="1"/>
    </xf>
    <xf numFmtId="164" fontId="6" fillId="0" borderId="0" xfId="0" applyNumberFormat="1" applyFont="1" applyAlignment="1">
      <alignment horizontal="right" vertical="center" wrapText="1"/>
    </xf>
    <xf numFmtId="0" fontId="6" fillId="0" borderId="0" xfId="0" applyFont="1" applyAlignment="1">
      <alignment vertical="center"/>
    </xf>
    <xf numFmtId="0" fontId="6" fillId="3" borderId="0" xfId="0" applyFont="1" applyFill="1" applyAlignment="1">
      <alignment vertical="center"/>
    </xf>
    <xf numFmtId="0" fontId="3" fillId="0" borderId="98" xfId="0" applyFont="1" applyBorder="1" applyAlignment="1">
      <alignment vertical="center" wrapText="1"/>
    </xf>
    <xf numFmtId="0" fontId="3" fillId="0" borderId="99" xfId="0" applyFont="1" applyBorder="1" applyAlignment="1">
      <alignment vertical="center" wrapText="1"/>
    </xf>
    <xf numFmtId="0" fontId="3" fillId="0" borderId="23" xfId="0" applyFont="1" applyBorder="1" applyAlignment="1">
      <alignment horizontal="center" vertical="center" wrapText="1"/>
    </xf>
    <xf numFmtId="164" fontId="3" fillId="0" borderId="24" xfId="0" applyNumberFormat="1" applyFont="1" applyBorder="1" applyAlignment="1">
      <alignment horizontal="right" vertical="center" wrapText="1"/>
    </xf>
    <xf numFmtId="165" fontId="3" fillId="2" borderId="9" xfId="0" applyNumberFormat="1" applyFont="1" applyFill="1" applyBorder="1" applyAlignment="1">
      <alignment vertical="center"/>
    </xf>
    <xf numFmtId="0" fontId="3" fillId="0" borderId="2" xfId="0" applyFont="1" applyBorder="1" applyAlignment="1">
      <alignment vertical="center"/>
    </xf>
    <xf numFmtId="0" fontId="3" fillId="0" borderId="2" xfId="0" applyFont="1" applyBorder="1" applyAlignment="1">
      <alignment vertical="center"/>
    </xf>
    <xf numFmtId="0" fontId="3" fillId="0" borderId="69" xfId="0" applyFont="1" applyBorder="1" applyAlignment="1">
      <alignment vertical="center" wrapText="1"/>
    </xf>
    <xf numFmtId="0" fontId="3" fillId="0" borderId="8" xfId="0" applyFont="1" applyBorder="1" applyAlignment="1">
      <alignment horizontal="center" vertical="center" wrapText="1"/>
    </xf>
    <xf numFmtId="164" fontId="3" fillId="0" borderId="9" xfId="0" applyNumberFormat="1" applyFont="1" applyBorder="1" applyAlignment="1">
      <alignment horizontal="right" vertical="center" wrapText="1"/>
    </xf>
    <xf numFmtId="0" fontId="3" fillId="0" borderId="100" xfId="0" applyFont="1" applyBorder="1" applyAlignment="1">
      <alignment vertical="center" wrapText="1"/>
    </xf>
    <xf numFmtId="164" fontId="3" fillId="0" borderId="46" xfId="0" applyNumberFormat="1" applyFont="1" applyBorder="1" applyAlignment="1">
      <alignment horizontal="right" vertical="center" wrapText="1"/>
    </xf>
    <xf numFmtId="0" fontId="3" fillId="0" borderId="101" xfId="0" applyFont="1" applyBorder="1" applyAlignment="1">
      <alignment vertical="center" wrapText="1"/>
    </xf>
    <xf numFmtId="0" fontId="3" fillId="0" borderId="76" xfId="0" applyFont="1" applyBorder="1" applyAlignment="1">
      <alignment horizontal="center" vertical="center" wrapText="1"/>
    </xf>
    <xf numFmtId="164" fontId="3" fillId="0" borderId="36" xfId="0" applyNumberFormat="1" applyFont="1" applyBorder="1" applyAlignment="1">
      <alignment horizontal="right" vertical="center" wrapText="1"/>
    </xf>
    <xf numFmtId="164" fontId="3" fillId="0" borderId="40" xfId="0" applyNumberFormat="1" applyFont="1" applyBorder="1" applyAlignment="1">
      <alignment horizontal="right" vertical="center" wrapText="1"/>
    </xf>
    <xf numFmtId="0" fontId="3" fillId="0" borderId="102" xfId="0" applyFont="1" applyBorder="1" applyAlignment="1">
      <alignment vertical="center" wrapText="1"/>
    </xf>
    <xf numFmtId="0" fontId="3" fillId="0" borderId="103" xfId="0" applyFont="1" applyBorder="1" applyAlignment="1">
      <alignment vertical="center" wrapText="1"/>
    </xf>
    <xf numFmtId="0" fontId="3" fillId="0" borderId="104" xfId="0" applyFont="1" applyBorder="1" applyAlignment="1">
      <alignment vertical="center" wrapText="1"/>
    </xf>
    <xf numFmtId="0" fontId="3" fillId="0" borderId="105" xfId="0" applyFont="1" applyBorder="1" applyAlignment="1">
      <alignment vertical="center" wrapText="1"/>
    </xf>
    <xf numFmtId="0" fontId="3" fillId="0" borderId="106" xfId="0" applyFont="1" applyBorder="1" applyAlignment="1">
      <alignment vertical="center" wrapText="1"/>
    </xf>
    <xf numFmtId="0" fontId="3" fillId="0" borderId="107" xfId="0" applyFont="1" applyBorder="1" applyAlignment="1">
      <alignment horizontal="center" vertical="center" wrapText="1"/>
    </xf>
    <xf numFmtId="3" fontId="3" fillId="0" borderId="108" xfId="0" applyNumberFormat="1" applyFont="1" applyBorder="1" applyAlignment="1">
      <alignment horizontal="center" vertical="center" wrapText="1"/>
    </xf>
    <xf numFmtId="164" fontId="3" fillId="0" borderId="107" xfId="0" applyNumberFormat="1" applyFont="1" applyBorder="1" applyAlignment="1">
      <alignment horizontal="left" vertical="center" wrapText="1"/>
    </xf>
    <xf numFmtId="164" fontId="3" fillId="0" borderId="107" xfId="0" applyNumberFormat="1" applyFont="1" applyBorder="1" applyAlignment="1">
      <alignment horizontal="right" vertical="center" wrapText="1"/>
    </xf>
    <xf numFmtId="165" fontId="3" fillId="0" borderId="108" xfId="0" applyNumberFormat="1" applyFont="1" applyBorder="1" applyAlignment="1">
      <alignment horizontal="right" vertical="center" wrapText="1"/>
    </xf>
    <xf numFmtId="0" fontId="3" fillId="0" borderId="106" xfId="0" applyFont="1" applyBorder="1" applyAlignment="1">
      <alignment horizontal="center" vertical="center" wrapText="1"/>
    </xf>
    <xf numFmtId="164" fontId="3" fillId="0" borderId="107" xfId="0" applyNumberFormat="1" applyFont="1" applyBorder="1" applyAlignment="1">
      <alignment horizontal="right" vertical="center" wrapText="1"/>
    </xf>
    <xf numFmtId="165" fontId="3" fillId="0" borderId="109" xfId="0" applyNumberFormat="1" applyFont="1" applyBorder="1" applyAlignment="1">
      <alignment horizontal="right" vertical="center" wrapText="1"/>
    </xf>
    <xf numFmtId="0" fontId="3" fillId="0" borderId="71" xfId="0" applyFont="1" applyBorder="1" applyAlignment="1">
      <alignment vertical="center" wrapText="1"/>
    </xf>
    <xf numFmtId="164" fontId="3" fillId="0" borderId="55" xfId="0" applyNumberFormat="1" applyFont="1" applyBorder="1" applyAlignment="1">
      <alignment horizontal="right" vertical="center" wrapText="1"/>
    </xf>
    <xf numFmtId="0" fontId="3" fillId="0" borderId="5"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10" xfId="0" applyFont="1" applyBorder="1" applyAlignment="1">
      <alignment vertical="center" wrapText="1"/>
    </xf>
    <xf numFmtId="0" fontId="3" fillId="0" borderId="50" xfId="0" applyFont="1" applyBorder="1" applyAlignment="1">
      <alignment horizontal="center" vertical="center" wrapText="1"/>
    </xf>
    <xf numFmtId="164" fontId="3" fillId="0" borderId="51" xfId="0" applyNumberFormat="1" applyFont="1" applyBorder="1" applyAlignment="1">
      <alignment horizontal="center" vertical="center" wrapText="1"/>
    </xf>
    <xf numFmtId="164" fontId="3" fillId="0" borderId="51" xfId="0" applyNumberFormat="1" applyFont="1" applyBorder="1" applyAlignment="1">
      <alignment horizontal="right" vertical="center" wrapText="1"/>
    </xf>
    <xf numFmtId="0" fontId="3" fillId="0" borderId="30" xfId="0" applyFont="1" applyBorder="1" applyAlignment="1">
      <alignment horizontal="center" vertical="center" wrapText="1"/>
    </xf>
    <xf numFmtId="164" fontId="3" fillId="0" borderId="9" xfId="0" applyNumberFormat="1" applyFont="1" applyBorder="1" applyAlignment="1">
      <alignment horizontal="center" vertical="center" wrapText="1"/>
    </xf>
    <xf numFmtId="0" fontId="3" fillId="0" borderId="35" xfId="0" applyFont="1" applyBorder="1" applyAlignment="1">
      <alignment horizontal="center" vertical="center" wrapText="1"/>
    </xf>
    <xf numFmtId="164" fontId="3" fillId="0" borderId="36" xfId="0" applyNumberFormat="1" applyFont="1" applyBorder="1" applyAlignment="1">
      <alignment horizontal="center" vertical="center" wrapText="1"/>
    </xf>
    <xf numFmtId="0" fontId="3" fillId="0" borderId="111" xfId="0" applyFont="1" applyBorder="1" applyAlignment="1">
      <alignment vertical="center" wrapText="1"/>
    </xf>
    <xf numFmtId="0" fontId="3" fillId="0" borderId="112" xfId="0" applyFont="1" applyBorder="1" applyAlignment="1">
      <alignment vertical="center" wrapText="1"/>
    </xf>
    <xf numFmtId="0" fontId="3" fillId="0" borderId="75" xfId="0" applyFont="1" applyBorder="1" applyAlignment="1">
      <alignment vertical="center" wrapText="1"/>
    </xf>
    <xf numFmtId="0" fontId="3" fillId="0" borderId="76" xfId="0" applyFont="1" applyBorder="1" applyAlignment="1">
      <alignment vertical="center" wrapText="1"/>
    </xf>
    <xf numFmtId="0" fontId="3" fillId="0" borderId="74" xfId="0" applyFont="1" applyBorder="1" applyAlignment="1">
      <alignment horizontal="center" vertical="center" wrapText="1"/>
    </xf>
    <xf numFmtId="166" fontId="3" fillId="0" borderId="74" xfId="0" applyNumberFormat="1" applyFont="1" applyBorder="1" applyAlignment="1">
      <alignment horizontal="center" vertical="center" wrapText="1"/>
    </xf>
    <xf numFmtId="3" fontId="3" fillId="0" borderId="113" xfId="0" applyNumberFormat="1" applyFont="1" applyBorder="1" applyAlignment="1">
      <alignment horizontal="center" vertical="center" wrapText="1"/>
    </xf>
    <xf numFmtId="164" fontId="3" fillId="0" borderId="74" xfId="0" applyNumberFormat="1" applyFont="1" applyBorder="1" applyAlignment="1">
      <alignment horizontal="center" vertical="center" wrapText="1"/>
    </xf>
    <xf numFmtId="165" fontId="3" fillId="0" borderId="113" xfId="0" applyNumberFormat="1" applyFont="1" applyBorder="1" applyAlignment="1">
      <alignment horizontal="right" vertical="center" wrapText="1"/>
    </xf>
    <xf numFmtId="164" fontId="3" fillId="0" borderId="74" xfId="0" applyNumberFormat="1" applyFont="1" applyBorder="1" applyAlignment="1">
      <alignment horizontal="right" vertical="center" wrapText="1"/>
    </xf>
    <xf numFmtId="165" fontId="3" fillId="0" borderId="114" xfId="0" applyNumberFormat="1" applyFont="1" applyBorder="1" applyAlignment="1">
      <alignment horizontal="right" vertical="center" wrapText="1"/>
    </xf>
    <xf numFmtId="166" fontId="3" fillId="0" borderId="40" xfId="0" applyNumberFormat="1" applyFont="1" applyBorder="1" applyAlignment="1">
      <alignment horizontal="center" vertical="center" wrapText="1"/>
    </xf>
    <xf numFmtId="164" fontId="3" fillId="0" borderId="40" xfId="0" applyNumberFormat="1" applyFont="1" applyBorder="1" applyAlignment="1">
      <alignment horizontal="center" vertical="center" wrapText="1"/>
    </xf>
    <xf numFmtId="0" fontId="5" fillId="3" borderId="0" xfId="0" applyFont="1" applyFill="1" applyAlignment="1">
      <alignment vertical="center" wrapText="1"/>
    </xf>
    <xf numFmtId="165" fontId="5" fillId="10" borderId="9" xfId="0" applyNumberFormat="1" applyFont="1" applyFill="1" applyBorder="1" applyAlignment="1">
      <alignment vertical="center"/>
    </xf>
    <xf numFmtId="0" fontId="5" fillId="10" borderId="9" xfId="0" applyFont="1" applyFill="1" applyBorder="1" applyAlignment="1">
      <alignment vertical="center" wrapText="1"/>
    </xf>
    <xf numFmtId="0" fontId="5" fillId="3" borderId="0" xfId="0" applyFont="1" applyFill="1" applyAlignment="1">
      <alignment vertical="center"/>
    </xf>
    <xf numFmtId="0" fontId="10" fillId="3" borderId="0" xfId="0" applyFont="1" applyFill="1" applyAlignment="1">
      <alignment vertical="center" wrapText="1"/>
    </xf>
    <xf numFmtId="0" fontId="11" fillId="3" borderId="115" xfId="0" applyFont="1" applyFill="1" applyBorder="1" applyAlignment="1">
      <alignment vertical="center" wrapText="1"/>
    </xf>
    <xf numFmtId="0" fontId="11" fillId="3" borderId="0" xfId="0" applyFont="1" applyFill="1" applyAlignment="1">
      <alignment vertical="center" wrapText="1"/>
    </xf>
    <xf numFmtId="0" fontId="10" fillId="0" borderId="0" xfId="0" applyFont="1" applyAlignment="1">
      <alignment vertical="center" wrapText="1"/>
    </xf>
    <xf numFmtId="0" fontId="10" fillId="0" borderId="0" xfId="0" applyFont="1" applyAlignment="1">
      <alignment horizontal="center" vertical="center" wrapText="1"/>
    </xf>
    <xf numFmtId="170" fontId="11" fillId="0" borderId="0" xfId="0" applyNumberFormat="1" applyFont="1" applyAlignment="1">
      <alignment horizontal="center" vertical="center" wrapText="1"/>
    </xf>
    <xf numFmtId="164" fontId="10" fillId="0" borderId="0" xfId="0" applyNumberFormat="1" applyFont="1" applyAlignment="1">
      <alignment horizontal="center" vertical="center" wrapText="1"/>
    </xf>
    <xf numFmtId="165" fontId="11" fillId="0" borderId="0" xfId="0" applyNumberFormat="1" applyFont="1" applyAlignment="1">
      <alignment horizontal="right" vertical="center" wrapText="1"/>
    </xf>
    <xf numFmtId="164" fontId="10" fillId="0" borderId="0" xfId="0" applyNumberFormat="1" applyFont="1" applyAlignment="1">
      <alignment horizontal="right" vertical="center" wrapText="1"/>
    </xf>
    <xf numFmtId="164" fontId="10" fillId="0" borderId="0" xfId="0" applyNumberFormat="1" applyFont="1" applyAlignment="1">
      <alignment horizontal="center" vertical="center" wrapText="1"/>
    </xf>
    <xf numFmtId="165" fontId="11" fillId="0" borderId="118" xfId="0" applyNumberFormat="1" applyFont="1" applyBorder="1" applyAlignment="1">
      <alignment horizontal="right" vertical="center" wrapText="1"/>
    </xf>
    <xf numFmtId="0" fontId="10" fillId="3" borderId="0" xfId="0" applyFont="1" applyFill="1" applyAlignment="1">
      <alignment vertical="center"/>
    </xf>
    <xf numFmtId="165" fontId="10" fillId="0" borderId="0" xfId="0" applyNumberFormat="1" applyFont="1" applyAlignment="1">
      <alignment vertical="center"/>
    </xf>
    <xf numFmtId="0" fontId="10" fillId="0" borderId="0" xfId="0" applyFont="1" applyAlignment="1">
      <alignment vertical="center"/>
    </xf>
    <xf numFmtId="0" fontId="11" fillId="0" borderId="0" xfId="0" applyFont="1" applyAlignment="1">
      <alignment vertical="center" wrapText="1"/>
    </xf>
    <xf numFmtId="0" fontId="11" fillId="0" borderId="0" xfId="0" applyFont="1" applyAlignment="1">
      <alignment horizontal="center" vertical="center" wrapText="1"/>
    </xf>
    <xf numFmtId="164" fontId="11" fillId="0" borderId="0" xfId="0" applyNumberFormat="1" applyFont="1" applyAlignment="1">
      <alignment horizontal="center" vertical="center" wrapText="1"/>
    </xf>
    <xf numFmtId="164" fontId="11" fillId="0" borderId="0" xfId="0" applyNumberFormat="1" applyFont="1" applyAlignment="1">
      <alignment horizontal="right" vertical="center" wrapText="1"/>
    </xf>
    <xf numFmtId="164" fontId="11" fillId="0" borderId="0" xfId="0" applyNumberFormat="1" applyFont="1" applyAlignment="1">
      <alignment horizontal="center" vertical="center" wrapText="1"/>
    </xf>
    <xf numFmtId="0" fontId="11" fillId="3" borderId="0" xfId="0" applyFont="1" applyFill="1" applyAlignment="1">
      <alignment vertical="center"/>
    </xf>
    <xf numFmtId="165" fontId="11" fillId="0" borderId="9" xfId="0" applyNumberFormat="1" applyFont="1" applyBorder="1" applyAlignment="1">
      <alignment vertical="center"/>
    </xf>
    <xf numFmtId="0" fontId="11" fillId="0" borderId="0" xfId="0" applyFont="1" applyAlignment="1">
      <alignment vertical="center"/>
    </xf>
    <xf numFmtId="0" fontId="11" fillId="0" borderId="9" xfId="0" applyFont="1" applyBorder="1" applyAlignment="1">
      <alignment vertical="center" wrapText="1"/>
    </xf>
    <xf numFmtId="0" fontId="3" fillId="3" borderId="0" xfId="0" applyFont="1" applyFill="1" applyAlignment="1">
      <alignment vertical="center" wrapText="1"/>
    </xf>
    <xf numFmtId="0" fontId="12" fillId="3" borderId="115" xfId="0" applyFont="1" applyFill="1" applyBorder="1" applyAlignment="1">
      <alignment vertical="center" wrapText="1"/>
    </xf>
    <xf numFmtId="0" fontId="12" fillId="3" borderId="0" xfId="0" applyFont="1" applyFill="1" applyAlignment="1">
      <alignment vertical="center" wrapText="1"/>
    </xf>
    <xf numFmtId="0" fontId="3" fillId="0" borderId="0" xfId="0" applyFont="1" applyAlignment="1">
      <alignment horizontal="center" vertical="center" wrapText="1"/>
    </xf>
    <xf numFmtId="170" fontId="3" fillId="0" borderId="0" xfId="0" applyNumberFormat="1" applyFont="1" applyAlignment="1">
      <alignment horizontal="center" vertical="center" wrapText="1"/>
    </xf>
    <xf numFmtId="164" fontId="3" fillId="0" borderId="0" xfId="0" applyNumberFormat="1" applyFont="1" applyAlignment="1">
      <alignment horizontal="center" vertical="center" wrapText="1"/>
    </xf>
    <xf numFmtId="165" fontId="12" fillId="0" borderId="0" xfId="0" applyNumberFormat="1" applyFont="1" applyAlignment="1">
      <alignment horizontal="right" vertical="center" wrapText="1"/>
    </xf>
    <xf numFmtId="164" fontId="3" fillId="0" borderId="0" xfId="0" applyNumberFormat="1" applyFont="1" applyAlignment="1">
      <alignment horizontal="right" vertical="center"/>
    </xf>
    <xf numFmtId="165" fontId="3" fillId="0" borderId="0" xfId="0" applyNumberFormat="1" applyFont="1" applyAlignment="1">
      <alignment horizontal="center" vertical="center" wrapText="1"/>
    </xf>
    <xf numFmtId="164" fontId="3" fillId="0" borderId="0" xfId="0" applyNumberFormat="1" applyFont="1" applyAlignment="1">
      <alignment horizontal="center" vertical="center"/>
    </xf>
    <xf numFmtId="165" fontId="12" fillId="0" borderId="118" xfId="0" applyNumberFormat="1" applyFont="1" applyBorder="1" applyAlignment="1">
      <alignment horizontal="right" vertical="center" wrapText="1"/>
    </xf>
    <xf numFmtId="0" fontId="3" fillId="3" borderId="0" xfId="0" applyFont="1" applyFill="1" applyAlignment="1">
      <alignment vertical="center"/>
    </xf>
    <xf numFmtId="165" fontId="3" fillId="0" borderId="0" xfId="0" applyNumberFormat="1" applyFont="1" applyAlignment="1">
      <alignment vertical="center"/>
    </xf>
    <xf numFmtId="0" fontId="12" fillId="0" borderId="0" xfId="0" applyFont="1" applyAlignment="1">
      <alignment vertical="center" wrapText="1"/>
    </xf>
    <xf numFmtId="0" fontId="12" fillId="0" borderId="0" xfId="0" applyFont="1" applyAlignment="1">
      <alignment horizontal="center" vertical="center" wrapText="1"/>
    </xf>
    <xf numFmtId="170" fontId="12" fillId="0" borderId="0" xfId="0" applyNumberFormat="1" applyFont="1" applyAlignment="1">
      <alignment horizontal="center" vertical="center" wrapText="1"/>
    </xf>
    <xf numFmtId="164" fontId="12" fillId="0" borderId="0" xfId="0" applyNumberFormat="1" applyFont="1" applyAlignment="1">
      <alignment horizontal="center" vertical="center" wrapText="1"/>
    </xf>
    <xf numFmtId="0" fontId="12" fillId="0" borderId="0" xfId="0" applyFont="1" applyAlignment="1">
      <alignment vertical="center"/>
    </xf>
    <xf numFmtId="164" fontId="12" fillId="0" borderId="0" xfId="0" applyNumberFormat="1" applyFont="1" applyAlignment="1">
      <alignment horizontal="right" vertical="center"/>
    </xf>
    <xf numFmtId="165" fontId="12" fillId="0" borderId="0" xfId="0" applyNumberFormat="1" applyFont="1" applyAlignment="1">
      <alignment horizontal="center" vertical="center" wrapText="1"/>
    </xf>
    <xf numFmtId="0" fontId="13" fillId="0" borderId="0" xfId="0" applyFont="1" applyAlignment="1">
      <alignment horizontal="center" vertical="center" wrapText="1"/>
    </xf>
    <xf numFmtId="164" fontId="12" fillId="0" borderId="0" xfId="0" applyNumberFormat="1" applyFont="1" applyAlignment="1">
      <alignment horizontal="center" vertical="center"/>
    </xf>
    <xf numFmtId="164" fontId="13" fillId="0" borderId="0" xfId="0" applyNumberFormat="1" applyFont="1" applyAlignment="1">
      <alignment horizontal="center" vertical="center" wrapText="1"/>
    </xf>
    <xf numFmtId="0" fontId="12" fillId="3" borderId="0" xfId="0" applyFont="1" applyFill="1" applyAlignment="1">
      <alignment vertical="center"/>
    </xf>
    <xf numFmtId="165" fontId="12" fillId="0" borderId="9" xfId="0" applyNumberFormat="1" applyFont="1" applyBorder="1" applyAlignment="1">
      <alignment vertical="center"/>
    </xf>
    <xf numFmtId="0" fontId="12" fillId="0" borderId="0" xfId="0" applyFont="1" applyAlignment="1">
      <alignment vertical="center"/>
    </xf>
    <xf numFmtId="0" fontId="12" fillId="0" borderId="9" xfId="0" applyFont="1" applyBorder="1" applyAlignment="1">
      <alignment vertical="center" wrapText="1"/>
    </xf>
    <xf numFmtId="0" fontId="3" fillId="3" borderId="115" xfId="0" applyFont="1" applyFill="1" applyBorder="1" applyAlignment="1">
      <alignment vertical="center" wrapText="1"/>
    </xf>
    <xf numFmtId="166" fontId="5" fillId="0" borderId="0" xfId="0" applyNumberFormat="1" applyFont="1" applyAlignment="1">
      <alignment horizontal="center" vertical="center"/>
    </xf>
    <xf numFmtId="0" fontId="3" fillId="0" borderId="0" xfId="0" applyFont="1" applyAlignment="1">
      <alignment horizontal="left" vertical="center" wrapText="1"/>
    </xf>
    <xf numFmtId="165" fontId="5" fillId="0" borderId="0" xfId="0" applyNumberFormat="1" applyFont="1" applyAlignment="1">
      <alignment horizontal="right" vertical="center" wrapText="1"/>
    </xf>
    <xf numFmtId="164" fontId="3" fillId="0" borderId="0" xfId="0" applyNumberFormat="1" applyFont="1" applyAlignment="1">
      <alignment vertical="center"/>
    </xf>
    <xf numFmtId="165" fontId="5" fillId="0" borderId="118" xfId="0" applyNumberFormat="1" applyFont="1" applyBorder="1" applyAlignment="1">
      <alignment horizontal="right" vertical="center" wrapText="1"/>
    </xf>
    <xf numFmtId="0" fontId="5" fillId="11" borderId="0" xfId="0" applyFont="1" applyFill="1" applyAlignment="1">
      <alignment vertical="center" wrapText="1"/>
    </xf>
    <xf numFmtId="166" fontId="5" fillId="11" borderId="0" xfId="0" applyNumberFormat="1" applyFont="1" applyFill="1" applyAlignment="1">
      <alignment horizontal="center" vertical="center"/>
    </xf>
    <xf numFmtId="3" fontId="5" fillId="11" borderId="0" xfId="0" applyNumberFormat="1" applyFont="1" applyFill="1" applyAlignment="1">
      <alignment horizontal="center" vertical="center"/>
    </xf>
    <xf numFmtId="0" fontId="5" fillId="11" borderId="0" xfId="0" applyFont="1" applyFill="1" applyAlignment="1">
      <alignment horizontal="center" vertical="center" wrapText="1"/>
    </xf>
    <xf numFmtId="164" fontId="5" fillId="11" borderId="0" xfId="0" applyNumberFormat="1" applyFont="1" applyFill="1" applyAlignment="1">
      <alignment horizontal="center" vertical="center" wrapText="1"/>
    </xf>
    <xf numFmtId="164" fontId="5" fillId="11" borderId="0" xfId="0" applyNumberFormat="1" applyFont="1" applyFill="1" applyAlignment="1">
      <alignment horizontal="center" vertical="center"/>
    </xf>
    <xf numFmtId="165" fontId="5" fillId="11" borderId="0" xfId="0" applyNumberFormat="1" applyFont="1" applyFill="1" applyAlignment="1">
      <alignment horizontal="right" vertical="center" wrapText="1"/>
    </xf>
    <xf numFmtId="0" fontId="5" fillId="11" borderId="0" xfId="0" applyFont="1" applyFill="1" applyAlignment="1">
      <alignment vertical="center"/>
    </xf>
    <xf numFmtId="164" fontId="5" fillId="11" borderId="0" xfId="0" applyNumberFormat="1" applyFont="1" applyFill="1" applyAlignment="1">
      <alignment horizontal="right" vertical="center"/>
    </xf>
    <xf numFmtId="0" fontId="14" fillId="11" borderId="0" xfId="0" applyFont="1" applyFill="1" applyAlignment="1">
      <alignment horizontal="center" vertical="center" wrapText="1"/>
    </xf>
    <xf numFmtId="164" fontId="5" fillId="11" borderId="0" xfId="0" applyNumberFormat="1" applyFont="1" applyFill="1" applyAlignment="1">
      <alignment horizontal="center" vertical="center"/>
    </xf>
    <xf numFmtId="0" fontId="5" fillId="11" borderId="0" xfId="0" applyFont="1" applyFill="1" applyAlignment="1">
      <alignment vertical="center"/>
    </xf>
    <xf numFmtId="164" fontId="5" fillId="11" borderId="0" xfId="0" applyNumberFormat="1" applyFont="1" applyFill="1" applyAlignment="1">
      <alignment vertical="center"/>
    </xf>
    <xf numFmtId="165" fontId="5" fillId="11" borderId="118" xfId="0" applyNumberFormat="1" applyFont="1" applyFill="1" applyBorder="1" applyAlignment="1">
      <alignment horizontal="right" vertical="center" wrapText="1"/>
    </xf>
    <xf numFmtId="165" fontId="5" fillId="11" borderId="9" xfId="0" applyNumberFormat="1" applyFont="1" applyFill="1" applyBorder="1" applyAlignment="1">
      <alignment vertical="center"/>
    </xf>
    <xf numFmtId="0" fontId="5" fillId="11" borderId="9" xfId="0" applyFont="1" applyFill="1" applyBorder="1" applyAlignment="1">
      <alignment vertical="center" wrapText="1"/>
    </xf>
    <xf numFmtId="0" fontId="3" fillId="7" borderId="115" xfId="0" applyFont="1" applyFill="1" applyBorder="1" applyAlignment="1">
      <alignment vertical="center" wrapText="1"/>
    </xf>
    <xf numFmtId="164" fontId="3" fillId="0" borderId="0" xfId="0" applyNumberFormat="1" applyFont="1" applyAlignment="1">
      <alignment vertical="center"/>
    </xf>
    <xf numFmtId="0" fontId="5" fillId="11" borderId="0" xfId="0" applyFont="1" applyFill="1" applyAlignment="1">
      <alignment horizontal="left" vertical="center" wrapText="1"/>
    </xf>
    <xf numFmtId="0" fontId="5" fillId="11" borderId="0" xfId="0" applyFont="1" applyFill="1" applyAlignment="1">
      <alignment vertical="center" wrapText="1"/>
    </xf>
    <xf numFmtId="164" fontId="5" fillId="11" borderId="0" xfId="0" applyNumberFormat="1" applyFont="1" applyFill="1" applyAlignment="1">
      <alignment vertical="center"/>
    </xf>
    <xf numFmtId="0" fontId="15" fillId="3" borderId="0" xfId="0" applyFont="1" applyFill="1" applyAlignment="1">
      <alignment vertical="center"/>
    </xf>
    <xf numFmtId="0" fontId="15" fillId="0" borderId="0" xfId="0" applyFont="1" applyAlignment="1">
      <alignment vertical="center"/>
    </xf>
    <xf numFmtId="0" fontId="3" fillId="0" borderId="119" xfId="0" applyFont="1" applyBorder="1" applyAlignment="1">
      <alignment vertical="center" wrapText="1"/>
    </xf>
    <xf numFmtId="0" fontId="3" fillId="0" borderId="20" xfId="0" applyFont="1" applyBorder="1" applyAlignment="1">
      <alignment vertical="center" wrapText="1"/>
    </xf>
    <xf numFmtId="0" fontId="3" fillId="0" borderId="20" xfId="0" applyFont="1" applyBorder="1" applyAlignment="1">
      <alignment vertical="center"/>
    </xf>
    <xf numFmtId="3" fontId="3" fillId="0" borderId="20" xfId="0" applyNumberFormat="1" applyFont="1" applyBorder="1" applyAlignment="1">
      <alignment horizontal="center" vertical="center"/>
    </xf>
    <xf numFmtId="0" fontId="3" fillId="0" borderId="20" xfId="0" applyFont="1" applyBorder="1" applyAlignment="1">
      <alignment horizontal="left" vertical="center"/>
    </xf>
    <xf numFmtId="165" fontId="3" fillId="0" borderId="20" xfId="0" applyNumberFormat="1" applyFont="1" applyBorder="1" applyAlignment="1">
      <alignment vertical="center"/>
    </xf>
    <xf numFmtId="165" fontId="3" fillId="0" borderId="20" xfId="0" applyNumberFormat="1" applyFont="1" applyBorder="1" applyAlignment="1">
      <alignment horizontal="right" vertical="center"/>
    </xf>
    <xf numFmtId="164" fontId="3" fillId="0" borderId="20" xfId="0" applyNumberFormat="1" applyFont="1" applyBorder="1" applyAlignment="1">
      <alignment vertical="center"/>
    </xf>
    <xf numFmtId="165" fontId="3" fillId="0" borderId="120" xfId="0" applyNumberFormat="1" applyFont="1" applyBorder="1" applyAlignment="1">
      <alignment horizontal="right" vertical="center"/>
    </xf>
    <xf numFmtId="165" fontId="3" fillId="0" borderId="0" xfId="0" applyNumberFormat="1" applyFont="1" applyAlignment="1">
      <alignment horizontal="right" vertical="center"/>
    </xf>
    <xf numFmtId="0" fontId="7" fillId="0" borderId="0" xfId="0" applyFont="1" applyAlignment="1">
      <alignment vertical="center" wrapText="1"/>
    </xf>
    <xf numFmtId="165" fontId="7" fillId="0" borderId="0" xfId="0" applyNumberFormat="1" applyFont="1" applyAlignment="1">
      <alignment horizontal="right" vertical="center"/>
    </xf>
    <xf numFmtId="164" fontId="7" fillId="0" borderId="0" xfId="0" applyNumberFormat="1" applyFont="1" applyAlignment="1">
      <alignment vertical="center"/>
    </xf>
    <xf numFmtId="165" fontId="3" fillId="0" borderId="0" xfId="0" applyNumberFormat="1" applyFont="1" applyAlignment="1">
      <alignment horizontal="right" vertical="center"/>
    </xf>
    <xf numFmtId="165" fontId="3" fillId="0" borderId="0" xfId="0" applyNumberFormat="1" applyFont="1" applyAlignment="1">
      <alignment horizontal="right" vertical="center" wrapText="1"/>
    </xf>
    <xf numFmtId="164" fontId="3" fillId="0" borderId="0" xfId="0" applyNumberFormat="1" applyFont="1" applyAlignment="1">
      <alignment horizontal="right" vertical="center" wrapText="1"/>
    </xf>
    <xf numFmtId="164" fontId="3" fillId="0" borderId="0" xfId="0" applyNumberFormat="1" applyFont="1" applyAlignment="1">
      <alignment horizontal="right" vertical="center" wrapText="1"/>
    </xf>
    <xf numFmtId="168" fontId="3" fillId="0" borderId="0" xfId="0" applyNumberFormat="1" applyFont="1" applyAlignment="1">
      <alignment vertical="center"/>
    </xf>
    <xf numFmtId="0" fontId="3" fillId="12" borderId="0" xfId="0" applyFont="1" applyFill="1" applyAlignment="1">
      <alignment vertical="center" wrapText="1"/>
    </xf>
    <xf numFmtId="167" fontId="3" fillId="12" borderId="0" xfId="0" applyNumberFormat="1" applyFont="1" applyFill="1" applyAlignment="1">
      <alignment horizontal="center" vertical="center" wrapText="1"/>
    </xf>
    <xf numFmtId="167" fontId="3" fillId="12" borderId="0" xfId="0" applyNumberFormat="1" applyFont="1" applyFill="1" applyAlignment="1">
      <alignment horizontal="center" vertical="center"/>
    </xf>
    <xf numFmtId="3" fontId="3" fillId="12" borderId="0" xfId="0" applyNumberFormat="1" applyFont="1" applyFill="1" applyAlignment="1">
      <alignment horizontal="center" vertical="center"/>
    </xf>
    <xf numFmtId="0" fontId="3" fillId="12" borderId="0" xfId="0" applyFont="1" applyFill="1" applyAlignment="1">
      <alignment horizontal="left" vertical="center" wrapText="1"/>
    </xf>
    <xf numFmtId="164" fontId="3" fillId="12" borderId="0" xfId="0" applyNumberFormat="1" applyFont="1" applyFill="1" applyAlignment="1">
      <alignment horizontal="right" vertical="center"/>
    </xf>
    <xf numFmtId="165" fontId="3" fillId="12" borderId="0" xfId="0" applyNumberFormat="1" applyFont="1" applyFill="1" applyAlignment="1">
      <alignment horizontal="right" vertical="center"/>
    </xf>
    <xf numFmtId="165" fontId="3" fillId="12" borderId="0" xfId="0" applyNumberFormat="1" applyFont="1" applyFill="1" applyAlignment="1">
      <alignment horizontal="right" vertical="center" wrapText="1"/>
    </xf>
    <xf numFmtId="0" fontId="3" fillId="12" borderId="0" xfId="0" applyFont="1" applyFill="1" applyAlignment="1">
      <alignment vertical="center" wrapText="1"/>
    </xf>
    <xf numFmtId="164" fontId="3" fillId="12" borderId="0" xfId="0" applyNumberFormat="1" applyFont="1" applyFill="1" applyAlignment="1">
      <alignment horizontal="right" vertical="center" wrapText="1"/>
    </xf>
    <xf numFmtId="164" fontId="3" fillId="12" borderId="0" xfId="0" applyNumberFormat="1" applyFont="1" applyFill="1" applyAlignment="1">
      <alignment horizontal="right" vertical="center" wrapText="1"/>
    </xf>
    <xf numFmtId="0" fontId="3" fillId="12" borderId="0" xfId="0" applyFont="1" applyFill="1" applyAlignment="1">
      <alignment vertical="center"/>
    </xf>
    <xf numFmtId="165" fontId="3" fillId="12" borderId="0" xfId="0" applyNumberFormat="1" applyFont="1" applyFill="1" applyAlignment="1">
      <alignment vertical="center"/>
    </xf>
    <xf numFmtId="168" fontId="3" fillId="12" borderId="0" xfId="0" applyNumberFormat="1" applyFont="1" applyFill="1" applyAlignment="1">
      <alignment vertical="center"/>
    </xf>
    <xf numFmtId="167" fontId="3" fillId="3" borderId="0" xfId="0" applyNumberFormat="1" applyFont="1" applyFill="1" applyAlignment="1">
      <alignment horizontal="center" vertical="center"/>
    </xf>
    <xf numFmtId="0" fontId="3" fillId="0" borderId="62" xfId="0" applyFont="1" applyBorder="1" applyAlignment="1">
      <alignment vertical="center" wrapText="1"/>
    </xf>
    <xf numFmtId="167" fontId="3" fillId="4" borderId="59" xfId="0" applyNumberFormat="1" applyFont="1" applyFill="1" applyBorder="1" applyAlignment="1">
      <alignment horizontal="center" vertical="center" wrapText="1"/>
    </xf>
    <xf numFmtId="167" fontId="3" fillId="2" borderId="60" xfId="0" applyNumberFormat="1" applyFont="1" applyFill="1" applyBorder="1" applyAlignment="1">
      <alignment horizontal="center" vertical="center"/>
    </xf>
    <xf numFmtId="3" fontId="3" fillId="4" borderId="61" xfId="0" applyNumberFormat="1" applyFont="1" applyFill="1" applyBorder="1" applyAlignment="1">
      <alignment horizontal="center" vertical="center"/>
    </xf>
    <xf numFmtId="165" fontId="3" fillId="4" borderId="62" xfId="0" applyNumberFormat="1" applyFont="1" applyFill="1" applyBorder="1" applyAlignment="1">
      <alignment horizontal="right" vertical="center"/>
    </xf>
    <xf numFmtId="165" fontId="3" fillId="0" borderId="61" xfId="0" applyNumberFormat="1" applyFont="1" applyBorder="1" applyAlignment="1">
      <alignment horizontal="right" vertical="center"/>
    </xf>
    <xf numFmtId="165" fontId="3" fillId="4" borderId="60" xfId="0" applyNumberFormat="1" applyFont="1" applyFill="1" applyBorder="1" applyAlignment="1">
      <alignment horizontal="right" vertical="center"/>
    </xf>
    <xf numFmtId="0" fontId="3" fillId="0" borderId="59" xfId="0" applyFont="1" applyBorder="1" applyAlignment="1">
      <alignment horizontal="center" vertical="center" wrapText="1"/>
    </xf>
    <xf numFmtId="0" fontId="3" fillId="4" borderId="60" xfId="0" applyFont="1" applyFill="1" applyBorder="1" applyAlignment="1">
      <alignment vertical="center" wrapText="1"/>
    </xf>
    <xf numFmtId="165" fontId="3" fillId="4" borderId="62" xfId="0" applyNumberFormat="1" applyFont="1" applyFill="1" applyBorder="1" applyAlignment="1">
      <alignment horizontal="right" vertical="center" wrapText="1"/>
    </xf>
    <xf numFmtId="0" fontId="3" fillId="4" borderId="121" xfId="0" applyFont="1" applyFill="1" applyBorder="1" applyAlignment="1">
      <alignment vertical="center" wrapText="1"/>
    </xf>
    <xf numFmtId="164" fontId="3" fillId="4" borderId="60" xfId="0" applyNumberFormat="1" applyFont="1" applyFill="1" applyBorder="1" applyAlignment="1">
      <alignment horizontal="right" vertical="center" wrapText="1"/>
    </xf>
    <xf numFmtId="168" fontId="3" fillId="2" borderId="46" xfId="0" applyNumberFormat="1" applyFont="1" applyFill="1" applyBorder="1" applyAlignment="1">
      <alignment vertical="center"/>
    </xf>
    <xf numFmtId="0" fontId="3" fillId="0" borderId="122" xfId="0" applyFont="1" applyBorder="1" applyAlignment="1">
      <alignment vertical="center" wrapText="1"/>
    </xf>
    <xf numFmtId="167" fontId="3" fillId="4" borderId="123" xfId="0" applyNumberFormat="1" applyFont="1" applyFill="1" applyBorder="1" applyAlignment="1">
      <alignment horizontal="center" vertical="center"/>
    </xf>
    <xf numFmtId="167" fontId="3" fillId="2" borderId="124" xfId="0" applyNumberFormat="1" applyFont="1" applyFill="1" applyBorder="1" applyAlignment="1">
      <alignment horizontal="center" vertical="center"/>
    </xf>
    <xf numFmtId="3" fontId="3" fillId="4" borderId="125" xfId="0" applyNumberFormat="1" applyFont="1" applyFill="1" applyBorder="1" applyAlignment="1">
      <alignment horizontal="center" vertical="center"/>
    </xf>
    <xf numFmtId="0" fontId="3" fillId="0" borderId="123" xfId="0" applyFont="1" applyBorder="1" applyAlignment="1">
      <alignment vertical="center" wrapText="1"/>
    </xf>
    <xf numFmtId="0" fontId="3" fillId="0" borderId="124" xfId="0" applyFont="1" applyBorder="1" applyAlignment="1">
      <alignment horizontal="left" vertical="center"/>
    </xf>
    <xf numFmtId="165" fontId="3" fillId="4" borderId="122" xfId="0" applyNumberFormat="1" applyFont="1" applyFill="1" applyBorder="1" applyAlignment="1">
      <alignment horizontal="right" vertical="center"/>
    </xf>
    <xf numFmtId="165" fontId="3" fillId="0" borderId="125" xfId="0" applyNumberFormat="1" applyFont="1" applyBorder="1" applyAlignment="1">
      <alignment horizontal="right" vertical="center"/>
    </xf>
    <xf numFmtId="165" fontId="3" fillId="0" borderId="125" xfId="0" applyNumberFormat="1" applyFont="1" applyBorder="1" applyAlignment="1">
      <alignment horizontal="right" vertical="center" wrapText="1"/>
    </xf>
    <xf numFmtId="0" fontId="3" fillId="0" borderId="123" xfId="0" applyFont="1" applyBorder="1" applyAlignment="1">
      <alignment horizontal="center" vertical="center" wrapText="1"/>
    </xf>
    <xf numFmtId="0" fontId="3" fillId="0" borderId="124" xfId="0" applyFont="1" applyBorder="1" applyAlignment="1">
      <alignment vertical="center" wrapText="1"/>
    </xf>
    <xf numFmtId="0" fontId="3" fillId="4" borderId="124" xfId="0" applyFont="1" applyFill="1" applyBorder="1" applyAlignment="1">
      <alignment vertical="center" wrapText="1"/>
    </xf>
    <xf numFmtId="0" fontId="3" fillId="0" borderId="123" xfId="0" applyFont="1" applyBorder="1" applyAlignment="1">
      <alignment vertical="center" wrapText="1"/>
    </xf>
    <xf numFmtId="0" fontId="3" fillId="4" borderId="126" xfId="0" applyFont="1" applyFill="1" applyBorder="1" applyAlignment="1">
      <alignment vertical="center" wrapText="1"/>
    </xf>
    <xf numFmtId="164" fontId="3" fillId="4" borderId="124" xfId="0" applyNumberFormat="1" applyFont="1" applyFill="1" applyBorder="1" applyAlignment="1">
      <alignment horizontal="right" vertical="center" wrapText="1"/>
    </xf>
    <xf numFmtId="167" fontId="5" fillId="4" borderId="83" xfId="0" applyNumberFormat="1" applyFont="1" applyFill="1" applyBorder="1" applyAlignment="1">
      <alignment horizontal="center" vertical="center" wrapText="1"/>
    </xf>
    <xf numFmtId="167" fontId="3" fillId="2" borderId="9" xfId="0" applyNumberFormat="1" applyFont="1" applyFill="1" applyBorder="1" applyAlignment="1">
      <alignment horizontal="center" vertical="center"/>
    </xf>
    <xf numFmtId="3" fontId="3" fillId="4" borderId="100" xfId="0" applyNumberFormat="1" applyFont="1" applyFill="1" applyBorder="1" applyAlignment="1">
      <alignment horizontal="center" vertical="center"/>
    </xf>
    <xf numFmtId="0" fontId="3" fillId="0" borderId="9" xfId="0" applyFont="1" applyBorder="1" applyAlignment="1">
      <alignment horizontal="left" vertical="center" wrapText="1"/>
    </xf>
    <xf numFmtId="165" fontId="3" fillId="4" borderId="30" xfId="0" applyNumberFormat="1" applyFont="1" applyFill="1" applyBorder="1" applyAlignment="1">
      <alignment horizontal="right" vertical="center" wrapText="1"/>
    </xf>
    <xf numFmtId="165" fontId="3" fillId="0" borderId="100" xfId="0" applyNumberFormat="1" applyFont="1" applyBorder="1" applyAlignment="1">
      <alignment horizontal="right" vertical="center" wrapText="1"/>
    </xf>
    <xf numFmtId="165" fontId="3" fillId="4" borderId="9" xfId="0" applyNumberFormat="1" applyFont="1" applyFill="1" applyBorder="1" applyAlignment="1">
      <alignment horizontal="right" vertical="center"/>
    </xf>
    <xf numFmtId="165" fontId="3" fillId="0" borderId="100" xfId="0" applyNumberFormat="1" applyFont="1" applyBorder="1" applyAlignment="1">
      <alignment horizontal="right" vertical="center"/>
    </xf>
    <xf numFmtId="0" fontId="3" fillId="0" borderId="83" xfId="0" applyFont="1" applyBorder="1" applyAlignment="1">
      <alignment horizontal="center" vertical="center" wrapText="1"/>
    </xf>
    <xf numFmtId="0" fontId="3" fillId="4" borderId="9" xfId="0" applyFont="1" applyFill="1" applyBorder="1" applyAlignment="1">
      <alignment vertical="center" wrapText="1"/>
    </xf>
    <xf numFmtId="165" fontId="3" fillId="4" borderId="30" xfId="0" applyNumberFormat="1" applyFont="1" applyFill="1" applyBorder="1" applyAlignment="1">
      <alignment horizontal="right" vertical="center" wrapText="1"/>
    </xf>
    <xf numFmtId="0" fontId="3" fillId="4" borderId="127" xfId="0" applyFont="1" applyFill="1" applyBorder="1" applyAlignment="1">
      <alignment vertical="center" wrapText="1"/>
    </xf>
    <xf numFmtId="167" fontId="5" fillId="4" borderId="7" xfId="0" applyNumberFormat="1" applyFont="1" applyFill="1" applyBorder="1" applyAlignment="1">
      <alignment horizontal="center" vertical="center" wrapText="1"/>
    </xf>
    <xf numFmtId="167" fontId="3" fillId="2" borderId="40" xfId="0" applyNumberFormat="1" applyFont="1" applyFill="1" applyBorder="1" applyAlignment="1">
      <alignment horizontal="center" vertical="center"/>
    </xf>
    <xf numFmtId="3" fontId="3" fillId="4" borderId="69" xfId="0" applyNumberFormat="1" applyFont="1" applyFill="1" applyBorder="1" applyAlignment="1">
      <alignment horizontal="center" vertical="center"/>
    </xf>
    <xf numFmtId="165" fontId="3" fillId="4" borderId="8" xfId="0" applyNumberFormat="1" applyFont="1" applyFill="1" applyBorder="1" applyAlignment="1">
      <alignment horizontal="right" vertical="center" wrapText="1"/>
    </xf>
    <xf numFmtId="0" fontId="3" fillId="0" borderId="7" xfId="0" applyFont="1" applyBorder="1" applyAlignment="1">
      <alignment horizontal="center" vertical="center" wrapText="1"/>
    </xf>
    <xf numFmtId="0" fontId="3" fillId="4" borderId="40" xfId="0" applyFont="1" applyFill="1" applyBorder="1" applyAlignment="1">
      <alignment vertical="center" wrapText="1"/>
    </xf>
    <xf numFmtId="165" fontId="3" fillId="4" borderId="8" xfId="0" applyNumberFormat="1" applyFont="1" applyFill="1" applyBorder="1" applyAlignment="1">
      <alignment horizontal="right" vertical="center" wrapText="1"/>
    </xf>
    <xf numFmtId="0" fontId="3" fillId="4" borderId="6" xfId="0" applyFont="1" applyFill="1" applyBorder="1" applyAlignment="1">
      <alignment vertical="center" wrapText="1"/>
    </xf>
    <xf numFmtId="164" fontId="3" fillId="4" borderId="40" xfId="0" applyNumberFormat="1" applyFont="1" applyFill="1" applyBorder="1" applyAlignment="1">
      <alignment vertical="center"/>
    </xf>
    <xf numFmtId="165" fontId="3" fillId="4" borderId="40" xfId="0" applyNumberFormat="1" applyFont="1" applyFill="1" applyBorder="1" applyAlignment="1">
      <alignment horizontal="right" vertical="center"/>
    </xf>
    <xf numFmtId="0" fontId="3" fillId="0" borderId="73" xfId="0" applyFont="1" applyBorder="1" applyAlignment="1">
      <alignment vertical="center" wrapText="1"/>
    </xf>
    <xf numFmtId="0" fontId="3" fillId="0" borderId="128" xfId="0" applyFont="1" applyBorder="1" applyAlignment="1">
      <alignment vertical="center" wrapText="1"/>
    </xf>
    <xf numFmtId="0" fontId="3" fillId="0" borderId="76" xfId="0" applyFont="1" applyBorder="1" applyAlignment="1">
      <alignment vertical="center" wrapText="1"/>
    </xf>
    <xf numFmtId="167" fontId="3" fillId="4" borderId="73" xfId="0" applyNumberFormat="1" applyFont="1" applyFill="1" applyBorder="1" applyAlignment="1">
      <alignment horizontal="center" vertical="center" wrapText="1"/>
    </xf>
    <xf numFmtId="167" fontId="3" fillId="2" borderId="74" xfId="0" applyNumberFormat="1" applyFont="1" applyFill="1" applyBorder="1" applyAlignment="1">
      <alignment horizontal="center" vertical="center"/>
    </xf>
    <xf numFmtId="3" fontId="3" fillId="4" borderId="75" xfId="0" applyNumberFormat="1" applyFont="1" applyFill="1" applyBorder="1" applyAlignment="1">
      <alignment horizontal="center" vertical="center"/>
    </xf>
    <xf numFmtId="0" fontId="3" fillId="0" borderId="74" xfId="0" applyFont="1" applyBorder="1" applyAlignment="1">
      <alignment horizontal="left" vertical="center" wrapText="1"/>
    </xf>
    <xf numFmtId="165" fontId="3" fillId="4" borderId="76" xfId="0" applyNumberFormat="1" applyFont="1" applyFill="1" applyBorder="1" applyAlignment="1">
      <alignment horizontal="right" vertical="center" wrapText="1"/>
    </xf>
    <xf numFmtId="165" fontId="3" fillId="4" borderId="74" xfId="0" applyNumberFormat="1" applyFont="1" applyFill="1" applyBorder="1" applyAlignment="1">
      <alignment horizontal="right" vertical="center"/>
    </xf>
    <xf numFmtId="0" fontId="3" fillId="0" borderId="73" xfId="0" applyFont="1" applyBorder="1" applyAlignment="1">
      <alignment horizontal="center" vertical="center" wrapText="1"/>
    </xf>
    <xf numFmtId="0" fontId="3" fillId="4" borderId="74" xfId="0" applyFont="1" applyFill="1" applyBorder="1" applyAlignment="1">
      <alignment vertical="center" wrapText="1"/>
    </xf>
    <xf numFmtId="165" fontId="3" fillId="4" borderId="76" xfId="0" applyNumberFormat="1" applyFont="1" applyFill="1" applyBorder="1" applyAlignment="1">
      <alignment horizontal="right" vertical="center" wrapText="1"/>
    </xf>
    <xf numFmtId="0" fontId="3" fillId="4" borderId="129" xfId="0" applyFont="1" applyFill="1" applyBorder="1" applyAlignment="1">
      <alignment vertical="center" wrapText="1"/>
    </xf>
    <xf numFmtId="164" fontId="3" fillId="4" borderId="74" xfId="0" applyNumberFormat="1" applyFont="1" applyFill="1" applyBorder="1" applyAlignment="1">
      <alignment horizontal="right" vertical="center" wrapText="1"/>
    </xf>
    <xf numFmtId="167" fontId="3" fillId="4" borderId="0" xfId="0" applyNumberFormat="1" applyFont="1" applyFill="1" applyAlignment="1">
      <alignment horizontal="center" vertical="center"/>
    </xf>
    <xf numFmtId="167" fontId="3" fillId="2" borderId="55" xfId="0" applyNumberFormat="1" applyFont="1" applyFill="1" applyBorder="1" applyAlignment="1">
      <alignment horizontal="center" vertical="center"/>
    </xf>
    <xf numFmtId="3" fontId="3" fillId="4" borderId="71" xfId="0" applyNumberFormat="1" applyFont="1" applyFill="1" applyBorder="1" applyAlignment="1">
      <alignment horizontal="center" vertical="center" wrapText="1"/>
    </xf>
    <xf numFmtId="164" fontId="3" fillId="4" borderId="5" xfId="0" applyNumberFormat="1" applyFont="1" applyFill="1" applyBorder="1" applyAlignment="1">
      <alignment horizontal="right" vertical="center"/>
    </xf>
    <xf numFmtId="164" fontId="3" fillId="4" borderId="55" xfId="0" applyNumberFormat="1" applyFont="1" applyFill="1" applyBorder="1" applyAlignment="1">
      <alignment horizontal="right" vertical="center" wrapText="1"/>
    </xf>
    <xf numFmtId="0" fontId="3" fillId="4" borderId="130" xfId="0" applyFont="1" applyFill="1" applyBorder="1" applyAlignment="1">
      <alignment vertical="center"/>
    </xf>
    <xf numFmtId="164" fontId="3" fillId="4" borderId="131" xfId="0" applyNumberFormat="1" applyFont="1" applyFill="1" applyBorder="1" applyAlignment="1">
      <alignment vertical="center"/>
    </xf>
    <xf numFmtId="165" fontId="3" fillId="0" borderId="132" xfId="0" applyNumberFormat="1" applyFont="1" applyBorder="1" applyAlignment="1">
      <alignment horizontal="right" vertical="center" wrapText="1"/>
    </xf>
    <xf numFmtId="0" fontId="3" fillId="0" borderId="133" xfId="0" applyFont="1" applyBorder="1" applyAlignment="1">
      <alignment vertical="center" wrapText="1"/>
    </xf>
    <xf numFmtId="166" fontId="3" fillId="4" borderId="134" xfId="0" applyNumberFormat="1" applyFont="1" applyFill="1" applyBorder="1" applyAlignment="1">
      <alignment vertical="center" wrapText="1"/>
    </xf>
    <xf numFmtId="164" fontId="3" fillId="4" borderId="130" xfId="0" applyNumberFormat="1" applyFont="1" applyFill="1" applyBorder="1" applyAlignment="1">
      <alignment horizontal="center" vertical="center"/>
    </xf>
    <xf numFmtId="165" fontId="3" fillId="6" borderId="135" xfId="0" applyNumberFormat="1" applyFont="1" applyFill="1" applyBorder="1" applyAlignment="1">
      <alignment horizontal="right" vertical="center" wrapText="1"/>
    </xf>
    <xf numFmtId="0" fontId="3" fillId="0" borderId="136" xfId="0" applyFont="1" applyBorder="1" applyAlignment="1">
      <alignment vertical="center" wrapText="1"/>
    </xf>
    <xf numFmtId="0" fontId="3" fillId="0" borderId="66" xfId="0" applyFont="1" applyBorder="1" applyAlignment="1">
      <alignment vertical="center" wrapText="1"/>
    </xf>
    <xf numFmtId="167" fontId="3" fillId="4" borderId="64" xfId="0" applyNumberFormat="1" applyFont="1" applyFill="1" applyBorder="1" applyAlignment="1">
      <alignment horizontal="center" vertical="center"/>
    </xf>
    <xf numFmtId="167" fontId="3" fillId="2" borderId="63" xfId="0" applyNumberFormat="1" applyFont="1" applyFill="1" applyBorder="1" applyAlignment="1">
      <alignment horizontal="center" vertical="center"/>
    </xf>
    <xf numFmtId="3" fontId="3" fillId="4" borderId="65" xfId="0" applyNumberFormat="1" applyFont="1" applyFill="1" applyBorder="1" applyAlignment="1">
      <alignment horizontal="center" vertical="center"/>
    </xf>
    <xf numFmtId="164" fontId="3" fillId="4" borderId="66" xfId="0" applyNumberFormat="1" applyFont="1" applyFill="1" applyBorder="1" applyAlignment="1">
      <alignment vertical="center"/>
    </xf>
    <xf numFmtId="165" fontId="3" fillId="0" borderId="65" xfId="0" applyNumberFormat="1" applyFont="1" applyBorder="1" applyAlignment="1">
      <alignment vertical="center"/>
    </xf>
    <xf numFmtId="164" fontId="3" fillId="4" borderId="63" xfId="0" applyNumberFormat="1" applyFont="1" applyFill="1" applyBorder="1" applyAlignment="1">
      <alignment vertical="center"/>
    </xf>
    <xf numFmtId="167" fontId="3" fillId="4" borderId="7" xfId="0" applyNumberFormat="1" applyFont="1" applyFill="1" applyBorder="1" applyAlignment="1">
      <alignment horizontal="center" vertical="center"/>
    </xf>
    <xf numFmtId="167" fontId="3" fillId="2" borderId="40" xfId="0" applyNumberFormat="1" applyFont="1" applyFill="1" applyBorder="1" applyAlignment="1">
      <alignment horizontal="center" vertical="center"/>
    </xf>
    <xf numFmtId="3" fontId="3" fillId="4" borderId="69" xfId="0" applyNumberFormat="1" applyFont="1" applyFill="1" applyBorder="1" applyAlignment="1">
      <alignment horizontal="center" vertical="center"/>
    </xf>
    <xf numFmtId="164" fontId="3" fillId="4" borderId="8" xfId="0" applyNumberFormat="1" applyFont="1" applyFill="1" applyBorder="1" applyAlignment="1">
      <alignment vertical="center"/>
    </xf>
    <xf numFmtId="165" fontId="3" fillId="0" borderId="69" xfId="0" applyNumberFormat="1" applyFont="1" applyBorder="1" applyAlignment="1">
      <alignment vertical="center"/>
    </xf>
    <xf numFmtId="164" fontId="3" fillId="4" borderId="40" xfId="0" applyNumberFormat="1" applyFont="1" applyFill="1" applyBorder="1" applyAlignment="1">
      <alignment vertical="center"/>
    </xf>
    <xf numFmtId="0" fontId="3" fillId="4" borderId="40" xfId="0" applyFont="1" applyFill="1" applyBorder="1" applyAlignment="1">
      <alignment vertical="center"/>
    </xf>
    <xf numFmtId="164" fontId="3" fillId="4" borderId="8" xfId="0" applyNumberFormat="1" applyFont="1" applyFill="1" applyBorder="1" applyAlignment="1">
      <alignment vertical="center"/>
    </xf>
    <xf numFmtId="166" fontId="3" fillId="4" borderId="6" xfId="0" applyNumberFormat="1" applyFont="1" applyFill="1" applyBorder="1" applyAlignment="1">
      <alignment vertical="center" wrapText="1"/>
    </xf>
    <xf numFmtId="164" fontId="3" fillId="4" borderId="40" xfId="0" applyNumberFormat="1" applyFont="1" applyFill="1" applyBorder="1" applyAlignment="1">
      <alignment horizontal="center" vertical="center"/>
    </xf>
    <xf numFmtId="165" fontId="3" fillId="6" borderId="70" xfId="0" applyNumberFormat="1" applyFont="1" applyFill="1" applyBorder="1" applyAlignment="1">
      <alignment horizontal="right" vertical="center" wrapText="1"/>
    </xf>
    <xf numFmtId="167" fontId="3" fillId="2" borderId="7" xfId="0" applyNumberFormat="1" applyFont="1" applyFill="1" applyBorder="1" applyAlignment="1">
      <alignment horizontal="center" vertical="center"/>
    </xf>
    <xf numFmtId="165" fontId="3" fillId="4" borderId="40" xfId="0" applyNumberFormat="1" applyFont="1" applyFill="1" applyBorder="1" applyAlignment="1">
      <alignment vertical="center"/>
    </xf>
    <xf numFmtId="165" fontId="3" fillId="4" borderId="8" xfId="0" applyNumberFormat="1" applyFont="1" applyFill="1" applyBorder="1" applyAlignment="1">
      <alignment vertical="center"/>
    </xf>
    <xf numFmtId="0" fontId="3" fillId="0" borderId="137" xfId="0" applyFont="1" applyBorder="1" applyAlignment="1">
      <alignment vertical="center" wrapText="1"/>
    </xf>
    <xf numFmtId="0" fontId="3" fillId="0" borderId="131" xfId="0" applyFont="1" applyBorder="1" applyAlignment="1">
      <alignment vertical="center" wrapText="1"/>
    </xf>
    <xf numFmtId="167" fontId="3" fillId="2" borderId="133" xfId="0" applyNumberFormat="1" applyFont="1" applyFill="1" applyBorder="1" applyAlignment="1">
      <alignment horizontal="center" vertical="center"/>
    </xf>
    <xf numFmtId="167" fontId="3" fillId="4" borderId="130" xfId="0" applyNumberFormat="1" applyFont="1" applyFill="1" applyBorder="1" applyAlignment="1">
      <alignment horizontal="center" vertical="center"/>
    </xf>
    <xf numFmtId="3" fontId="3" fillId="4" borderId="132" xfId="0" applyNumberFormat="1" applyFont="1" applyFill="1" applyBorder="1" applyAlignment="1">
      <alignment horizontal="center" vertical="center" wrapText="1"/>
    </xf>
    <xf numFmtId="0" fontId="3" fillId="0" borderId="130" xfId="0" applyFont="1" applyBorder="1" applyAlignment="1">
      <alignment horizontal="left" vertical="center"/>
    </xf>
    <xf numFmtId="164" fontId="3" fillId="4" borderId="131" xfId="0" applyNumberFormat="1" applyFont="1" applyFill="1" applyBorder="1" applyAlignment="1">
      <alignment horizontal="right" vertical="center"/>
    </xf>
    <xf numFmtId="165" fontId="3" fillId="0" borderId="132" xfId="0" applyNumberFormat="1" applyFont="1" applyBorder="1" applyAlignment="1">
      <alignment horizontal="right" vertical="center"/>
    </xf>
    <xf numFmtId="43" fontId="3" fillId="0" borderId="133" xfId="0" applyNumberFormat="1" applyFont="1" applyBorder="1" applyAlignment="1">
      <alignment vertical="center"/>
    </xf>
    <xf numFmtId="164" fontId="3" fillId="4" borderId="130" xfId="0" applyNumberFormat="1" applyFont="1" applyFill="1" applyBorder="1" applyAlignment="1">
      <alignment vertical="center"/>
    </xf>
    <xf numFmtId="165" fontId="3" fillId="0" borderId="132" xfId="0" applyNumberFormat="1" applyFont="1" applyBorder="1" applyAlignment="1">
      <alignment horizontal="right" vertical="center"/>
    </xf>
    <xf numFmtId="0" fontId="3" fillId="0" borderId="133" xfId="0" applyFont="1" applyBorder="1" applyAlignment="1">
      <alignment vertical="center"/>
    </xf>
    <xf numFmtId="0" fontId="3" fillId="0" borderId="130" xfId="0" applyFont="1" applyBorder="1" applyAlignment="1">
      <alignment vertical="center" wrapText="1"/>
    </xf>
    <xf numFmtId="165" fontId="3" fillId="4" borderId="131" xfId="0" applyNumberFormat="1" applyFont="1" applyFill="1" applyBorder="1" applyAlignment="1">
      <alignment vertical="center"/>
    </xf>
    <xf numFmtId="166" fontId="3" fillId="4" borderId="134" xfId="0" applyNumberFormat="1" applyFont="1" applyFill="1" applyBorder="1" applyAlignment="1">
      <alignment vertical="center"/>
    </xf>
    <xf numFmtId="164" fontId="3" fillId="4" borderId="130" xfId="0" applyNumberFormat="1" applyFont="1" applyFill="1" applyBorder="1" applyAlignment="1">
      <alignment vertical="center"/>
    </xf>
    <xf numFmtId="165" fontId="3" fillId="0" borderId="135" xfId="0" applyNumberFormat="1" applyFont="1" applyBorder="1" applyAlignment="1">
      <alignment horizontal="right" vertical="center" wrapText="1"/>
    </xf>
    <xf numFmtId="167" fontId="3" fillId="2" borderId="0" xfId="0" applyNumberFormat="1" applyFont="1" applyFill="1" applyAlignment="1">
      <alignment horizontal="center" vertical="center"/>
    </xf>
    <xf numFmtId="167" fontId="3" fillId="4" borderId="55" xfId="0" applyNumberFormat="1" applyFont="1" applyFill="1" applyBorder="1" applyAlignment="1">
      <alignment horizontal="center" vertical="center"/>
    </xf>
    <xf numFmtId="3" fontId="3" fillId="4" borderId="71" xfId="0" applyNumberFormat="1" applyFont="1" applyFill="1" applyBorder="1" applyAlignment="1">
      <alignment horizontal="center" vertical="center"/>
    </xf>
    <xf numFmtId="164" fontId="3" fillId="4" borderId="5" xfId="0" applyNumberFormat="1" applyFont="1" applyFill="1" applyBorder="1" applyAlignment="1">
      <alignment vertical="center"/>
    </xf>
    <xf numFmtId="165" fontId="3" fillId="0" borderId="71" xfId="0" applyNumberFormat="1" applyFont="1" applyBorder="1" applyAlignment="1">
      <alignment vertical="center"/>
    </xf>
    <xf numFmtId="164" fontId="3" fillId="4" borderId="55" xfId="0" applyNumberFormat="1" applyFont="1" applyFill="1" applyBorder="1" applyAlignment="1">
      <alignment vertical="center"/>
    </xf>
    <xf numFmtId="0" fontId="3" fillId="4" borderId="55" xfId="0" applyFont="1" applyFill="1" applyBorder="1" applyAlignment="1">
      <alignment vertical="center"/>
    </xf>
    <xf numFmtId="164" fontId="3" fillId="4" borderId="5" xfId="0" applyNumberFormat="1" applyFont="1" applyFill="1" applyBorder="1" applyAlignment="1">
      <alignment vertical="center"/>
    </xf>
    <xf numFmtId="166" fontId="3" fillId="4" borderId="4" xfId="0" applyNumberFormat="1" applyFont="1" applyFill="1" applyBorder="1" applyAlignment="1">
      <alignment vertical="center"/>
    </xf>
    <xf numFmtId="164" fontId="3" fillId="4" borderId="55" xfId="0" applyNumberFormat="1" applyFont="1" applyFill="1" applyBorder="1" applyAlignment="1">
      <alignment vertical="center"/>
    </xf>
    <xf numFmtId="167" fontId="3" fillId="4" borderId="64" xfId="0" applyNumberFormat="1" applyFont="1" applyFill="1" applyBorder="1" applyAlignment="1">
      <alignment horizontal="center" vertical="center"/>
    </xf>
    <xf numFmtId="3" fontId="3" fillId="2" borderId="65" xfId="0" applyNumberFormat="1" applyFont="1" applyFill="1" applyBorder="1" applyAlignment="1">
      <alignment horizontal="center" vertical="center"/>
    </xf>
    <xf numFmtId="0" fontId="3" fillId="4" borderId="63" xfId="0" applyFont="1" applyFill="1" applyBorder="1" applyAlignment="1">
      <alignment vertical="center"/>
    </xf>
    <xf numFmtId="164" fontId="3" fillId="4" borderId="66" xfId="0" applyNumberFormat="1" applyFont="1" applyFill="1" applyBorder="1" applyAlignment="1">
      <alignment vertical="center"/>
    </xf>
    <xf numFmtId="166" fontId="3" fillId="4" borderId="138" xfId="0" applyNumberFormat="1" applyFont="1" applyFill="1" applyBorder="1" applyAlignment="1">
      <alignment vertical="center"/>
    </xf>
    <xf numFmtId="164" fontId="3" fillId="4" borderId="63" xfId="0" applyNumberFormat="1" applyFont="1" applyFill="1" applyBorder="1" applyAlignment="1">
      <alignment vertical="center"/>
    </xf>
    <xf numFmtId="165" fontId="3" fillId="3" borderId="67" xfId="0" applyNumberFormat="1" applyFont="1" applyFill="1" applyBorder="1" applyAlignment="1">
      <alignment horizontal="right" vertical="center" wrapText="1"/>
    </xf>
    <xf numFmtId="167" fontId="3" fillId="4" borderId="40" xfId="0" applyNumberFormat="1" applyFont="1" applyFill="1" applyBorder="1" applyAlignment="1">
      <alignment horizontal="center" vertical="center" wrapText="1"/>
    </xf>
    <xf numFmtId="166" fontId="3" fillId="4" borderId="6" xfId="0" applyNumberFormat="1" applyFont="1" applyFill="1" applyBorder="1" applyAlignment="1">
      <alignment vertical="center"/>
    </xf>
    <xf numFmtId="0" fontId="3" fillId="9" borderId="137" xfId="0" applyFont="1" applyFill="1" applyBorder="1" applyAlignment="1">
      <alignment vertical="center" wrapText="1"/>
    </xf>
    <xf numFmtId="0" fontId="3" fillId="9" borderId="131" xfId="0" applyFont="1" applyFill="1" applyBorder="1" applyAlignment="1">
      <alignment vertical="center" wrapText="1"/>
    </xf>
    <xf numFmtId="167" fontId="3" fillId="2" borderId="73" xfId="0" applyNumberFormat="1" applyFont="1" applyFill="1" applyBorder="1" applyAlignment="1">
      <alignment horizontal="center" vertical="center"/>
    </xf>
    <xf numFmtId="0" fontId="3" fillId="4" borderId="129" xfId="0" applyFont="1" applyFill="1" applyBorder="1" applyAlignment="1">
      <alignment vertical="center"/>
    </xf>
    <xf numFmtId="164" fontId="3" fillId="4" borderId="74" xfId="0" applyNumberFormat="1" applyFont="1" applyFill="1" applyBorder="1" applyAlignment="1">
      <alignment vertical="center"/>
    </xf>
    <xf numFmtId="0" fontId="3" fillId="0" borderId="44" xfId="0" applyFont="1" applyBorder="1" applyAlignment="1">
      <alignment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0" fontId="3" fillId="4" borderId="74" xfId="0" applyFont="1" applyFill="1" applyBorder="1" applyAlignment="1">
      <alignment horizontal="center" vertical="center"/>
    </xf>
    <xf numFmtId="171" fontId="3" fillId="4" borderId="0" xfId="0" applyNumberFormat="1" applyFont="1" applyFill="1" applyAlignment="1">
      <alignment horizontal="center" vertical="center" wrapText="1"/>
    </xf>
    <xf numFmtId="165" fontId="3" fillId="4" borderId="5" xfId="0" applyNumberFormat="1" applyFont="1" applyFill="1" applyBorder="1" applyAlignment="1">
      <alignment horizontal="right" vertical="center"/>
    </xf>
    <xf numFmtId="165" fontId="3" fillId="4" borderId="55" xfId="0" applyNumberFormat="1" applyFont="1" applyFill="1" applyBorder="1" applyAlignment="1">
      <alignment horizontal="right" vertical="center" wrapText="1"/>
    </xf>
    <xf numFmtId="165" fontId="3" fillId="4" borderId="5" xfId="0" applyNumberFormat="1" applyFont="1" applyFill="1" applyBorder="1" applyAlignment="1">
      <alignment vertical="center"/>
    </xf>
    <xf numFmtId="0" fontId="3" fillId="0" borderId="139" xfId="0" applyFont="1" applyBorder="1" applyAlignment="1">
      <alignment vertical="center" wrapText="1"/>
    </xf>
    <xf numFmtId="0" fontId="3" fillId="0" borderId="81" xfId="0" applyFont="1" applyBorder="1" applyAlignment="1">
      <alignment vertical="center" wrapText="1"/>
    </xf>
    <xf numFmtId="4" fontId="3" fillId="4" borderId="79" xfId="0" applyNumberFormat="1" applyFont="1" applyFill="1" applyBorder="1" applyAlignment="1">
      <alignment horizontal="center" vertical="center" wrapText="1"/>
    </xf>
    <xf numFmtId="167" fontId="3" fillId="2" borderId="78" xfId="0" applyNumberFormat="1" applyFont="1" applyFill="1" applyBorder="1" applyAlignment="1">
      <alignment horizontal="center" vertical="center"/>
    </xf>
    <xf numFmtId="3" fontId="3" fillId="4" borderId="80" xfId="0" applyNumberFormat="1" applyFont="1" applyFill="1" applyBorder="1" applyAlignment="1">
      <alignment horizontal="center" vertical="center" wrapText="1"/>
    </xf>
    <xf numFmtId="0" fontId="3" fillId="0" borderId="79" xfId="0" applyFont="1" applyBorder="1" applyAlignment="1">
      <alignment vertical="center" wrapText="1"/>
    </xf>
    <xf numFmtId="165" fontId="3" fillId="4" borderId="81" xfId="0" applyNumberFormat="1" applyFont="1" applyFill="1" applyBorder="1" applyAlignment="1">
      <alignment horizontal="right" vertical="center"/>
    </xf>
    <xf numFmtId="165" fontId="3" fillId="0" borderId="80" xfId="0" applyNumberFormat="1" applyFont="1" applyBorder="1" applyAlignment="1">
      <alignment horizontal="right" vertical="center"/>
    </xf>
    <xf numFmtId="165" fontId="3" fillId="4" borderId="78" xfId="0" applyNumberFormat="1" applyFont="1" applyFill="1" applyBorder="1" applyAlignment="1">
      <alignment vertical="center"/>
    </xf>
    <xf numFmtId="0" fontId="3" fillId="4" borderId="78" xfId="0" applyFont="1" applyFill="1" applyBorder="1" applyAlignment="1">
      <alignment vertical="center"/>
    </xf>
    <xf numFmtId="165" fontId="3" fillId="4" borderId="81" xfId="0" applyNumberFormat="1" applyFont="1" applyFill="1" applyBorder="1" applyAlignment="1">
      <alignment vertical="center"/>
    </xf>
    <xf numFmtId="166" fontId="3" fillId="4" borderId="140" xfId="0" applyNumberFormat="1" applyFont="1" applyFill="1" applyBorder="1" applyAlignment="1">
      <alignment vertical="center"/>
    </xf>
    <xf numFmtId="164" fontId="3" fillId="4" borderId="78" xfId="0" applyNumberFormat="1" applyFont="1" applyFill="1" applyBorder="1" applyAlignment="1">
      <alignment vertical="center"/>
    </xf>
    <xf numFmtId="4" fontId="3" fillId="4" borderId="7" xfId="0" applyNumberFormat="1" applyFont="1" applyFill="1" applyBorder="1" applyAlignment="1">
      <alignment horizontal="center" vertical="center"/>
    </xf>
    <xf numFmtId="165" fontId="3" fillId="4" borderId="8" xfId="0" applyNumberFormat="1" applyFont="1" applyFill="1" applyBorder="1" applyAlignment="1">
      <alignment horizontal="center" vertical="center"/>
    </xf>
    <xf numFmtId="165" fontId="3" fillId="4" borderId="8" xfId="0" applyNumberFormat="1" applyFont="1" applyFill="1" applyBorder="1" applyAlignment="1">
      <alignment vertical="center"/>
    </xf>
    <xf numFmtId="167" fontId="3" fillId="2" borderId="74" xfId="0" applyNumberFormat="1" applyFont="1" applyFill="1" applyBorder="1" applyAlignment="1">
      <alignment horizontal="center" vertical="center" wrapText="1"/>
    </xf>
    <xf numFmtId="165" fontId="3" fillId="4" borderId="76" xfId="0" applyNumberFormat="1" applyFont="1" applyFill="1" applyBorder="1" applyAlignment="1">
      <alignment horizontal="center" vertical="center"/>
    </xf>
    <xf numFmtId="165" fontId="3" fillId="4" borderId="74" xfId="0" applyNumberFormat="1" applyFont="1" applyFill="1" applyBorder="1" applyAlignment="1">
      <alignment vertical="center"/>
    </xf>
    <xf numFmtId="0" fontId="3" fillId="0" borderId="28" xfId="0" applyFont="1" applyBorder="1" applyAlignment="1">
      <alignment vertical="center"/>
    </xf>
    <xf numFmtId="3" fontId="3" fillId="4" borderId="41" xfId="0" applyNumberFormat="1" applyFont="1" applyFill="1" applyBorder="1" applyAlignment="1">
      <alignment horizontal="center" vertical="center" wrapText="1"/>
    </xf>
    <xf numFmtId="0" fontId="3" fillId="0" borderId="8" xfId="0" applyFont="1" applyBorder="1" applyAlignment="1">
      <alignment horizontal="left" vertical="center" wrapText="1"/>
    </xf>
    <xf numFmtId="0" fontId="3" fillId="0" borderId="40" xfId="0" applyFont="1" applyBorder="1" applyAlignment="1">
      <alignment horizontal="center" vertical="center"/>
    </xf>
    <xf numFmtId="165" fontId="3" fillId="0" borderId="41" xfId="0" applyNumberFormat="1" applyFont="1" applyBorder="1" applyAlignment="1">
      <alignment vertical="center"/>
    </xf>
    <xf numFmtId="165" fontId="3" fillId="4" borderId="40" xfId="0" applyNumberFormat="1" applyFont="1" applyFill="1" applyBorder="1" applyAlignment="1">
      <alignment horizontal="right" vertical="center" wrapText="1"/>
    </xf>
    <xf numFmtId="0" fontId="3" fillId="0" borderId="8" xfId="0" applyFont="1" applyBorder="1" applyAlignment="1">
      <alignment horizontal="center" vertical="center"/>
    </xf>
    <xf numFmtId="0" fontId="3" fillId="4" borderId="40" xfId="0" applyFont="1" applyFill="1" applyBorder="1" applyAlignment="1">
      <alignment horizontal="center" vertical="center"/>
    </xf>
    <xf numFmtId="0" fontId="3" fillId="4" borderId="40" xfId="0" applyFont="1" applyFill="1" applyBorder="1" applyAlignment="1">
      <alignment vertical="center"/>
    </xf>
    <xf numFmtId="164" fontId="3" fillId="4" borderId="40" xfId="0" applyNumberFormat="1" applyFont="1" applyFill="1" applyBorder="1" applyAlignment="1">
      <alignment vertical="center"/>
    </xf>
    <xf numFmtId="3" fontId="3" fillId="4" borderId="29" xfId="0" applyNumberFormat="1" applyFont="1" applyFill="1" applyBorder="1" applyAlignment="1">
      <alignment horizontal="center" vertical="center" wrapText="1"/>
    </xf>
    <xf numFmtId="0" fontId="3" fillId="0" borderId="30" xfId="0" applyFont="1" applyBorder="1" applyAlignment="1">
      <alignment horizontal="left" vertical="center" wrapText="1"/>
    </xf>
    <xf numFmtId="0" fontId="3" fillId="0" borderId="9" xfId="0" applyFont="1" applyBorder="1" applyAlignment="1">
      <alignment horizontal="center" vertical="center"/>
    </xf>
    <xf numFmtId="165" fontId="3" fillId="0" borderId="29" xfId="0" applyNumberFormat="1" applyFont="1" applyBorder="1" applyAlignment="1">
      <alignment vertical="center"/>
    </xf>
    <xf numFmtId="165" fontId="3" fillId="4" borderId="9" xfId="0" applyNumberFormat="1" applyFont="1" applyFill="1" applyBorder="1" applyAlignment="1">
      <alignment horizontal="right" vertical="center" wrapText="1"/>
    </xf>
    <xf numFmtId="0" fontId="3" fillId="0" borderId="30" xfId="0" applyFont="1" applyBorder="1" applyAlignment="1">
      <alignment horizontal="center" vertical="center"/>
    </xf>
    <xf numFmtId="0" fontId="3" fillId="4" borderId="9" xfId="0" applyFont="1" applyFill="1" applyBorder="1" applyAlignment="1">
      <alignment horizontal="center" vertical="center"/>
    </xf>
    <xf numFmtId="0" fontId="3" fillId="4" borderId="9" xfId="0" applyFont="1" applyFill="1" applyBorder="1" applyAlignment="1">
      <alignment vertical="center"/>
    </xf>
    <xf numFmtId="164" fontId="3" fillId="4" borderId="9" xfId="0" applyNumberFormat="1" applyFont="1" applyFill="1" applyBorder="1" applyAlignment="1">
      <alignment vertical="center"/>
    </xf>
    <xf numFmtId="43" fontId="3" fillId="0" borderId="30" xfId="0" applyNumberFormat="1" applyFont="1" applyBorder="1" applyAlignment="1">
      <alignment horizontal="center" vertical="center"/>
    </xf>
    <xf numFmtId="0" fontId="3" fillId="4" borderId="9" xfId="0" applyFont="1" applyFill="1" applyBorder="1" applyAlignment="1">
      <alignment vertical="center"/>
    </xf>
    <xf numFmtId="3" fontId="3" fillId="2" borderId="29" xfId="0" applyNumberFormat="1" applyFont="1" applyFill="1" applyBorder="1" applyAlignment="1">
      <alignment horizontal="center" vertical="center" wrapText="1"/>
    </xf>
    <xf numFmtId="167" fontId="3" fillId="2" borderId="36" xfId="0" applyNumberFormat="1" applyFont="1" applyFill="1" applyBorder="1" applyAlignment="1">
      <alignment horizontal="center" vertical="center"/>
    </xf>
    <xf numFmtId="3" fontId="3" fillId="4" borderId="37" xfId="0" applyNumberFormat="1" applyFont="1" applyFill="1" applyBorder="1" applyAlignment="1">
      <alignment horizontal="center" vertical="center" wrapText="1"/>
    </xf>
    <xf numFmtId="0" fontId="3" fillId="0" borderId="36" xfId="0" applyFont="1" applyBorder="1" applyAlignment="1">
      <alignment horizontal="center" vertical="center"/>
    </xf>
    <xf numFmtId="165" fontId="3" fillId="4" borderId="36" xfId="0" applyNumberFormat="1" applyFont="1" applyFill="1" applyBorder="1" applyAlignment="1">
      <alignment vertical="center"/>
    </xf>
    <xf numFmtId="165" fontId="3" fillId="0" borderId="37" xfId="0" applyNumberFormat="1" applyFont="1" applyBorder="1" applyAlignment="1">
      <alignment vertical="center"/>
    </xf>
    <xf numFmtId="43" fontId="3" fillId="0" borderId="35" xfId="0" applyNumberFormat="1" applyFont="1" applyBorder="1" applyAlignment="1">
      <alignment horizontal="center" vertical="center"/>
    </xf>
    <xf numFmtId="0" fontId="3" fillId="0" borderId="35" xfId="0" applyFont="1" applyBorder="1" applyAlignment="1">
      <alignment horizontal="center" vertical="center"/>
    </xf>
    <xf numFmtId="0" fontId="3" fillId="4" borderId="36" xfId="0" applyFont="1" applyFill="1" applyBorder="1" applyAlignment="1">
      <alignment horizontal="center" vertical="center"/>
    </xf>
    <xf numFmtId="164" fontId="3" fillId="0" borderId="36" xfId="0" applyNumberFormat="1" applyFont="1" applyBorder="1" applyAlignment="1">
      <alignment horizontal="center" vertical="center"/>
    </xf>
    <xf numFmtId="167" fontId="3" fillId="4" borderId="74" xfId="0" applyNumberFormat="1" applyFont="1" applyFill="1" applyBorder="1" applyAlignment="1">
      <alignment horizontal="center" vertical="center"/>
    </xf>
    <xf numFmtId="3" fontId="3" fillId="0" borderId="113" xfId="0" applyNumberFormat="1" applyFont="1" applyBorder="1" applyAlignment="1">
      <alignment horizontal="center" vertical="center"/>
    </xf>
    <xf numFmtId="165" fontId="3" fillId="4" borderId="74" xfId="0" applyNumberFormat="1" applyFont="1" applyFill="1" applyBorder="1" applyAlignment="1">
      <alignment vertical="center"/>
    </xf>
    <xf numFmtId="165" fontId="3" fillId="0" borderId="113" xfId="0" applyNumberFormat="1" applyFont="1" applyBorder="1" applyAlignment="1">
      <alignment vertical="center"/>
    </xf>
    <xf numFmtId="164" fontId="3" fillId="4" borderId="74" xfId="0" applyNumberFormat="1" applyFont="1" applyFill="1" applyBorder="1" applyAlignment="1">
      <alignment horizontal="center" vertical="center"/>
    </xf>
    <xf numFmtId="165" fontId="3" fillId="0" borderId="113" xfId="0" applyNumberFormat="1" applyFont="1" applyBorder="1" applyAlignment="1">
      <alignment horizontal="right" vertical="center"/>
    </xf>
    <xf numFmtId="0" fontId="3" fillId="0" borderId="76" xfId="0" applyFont="1" applyBorder="1" applyAlignment="1">
      <alignment horizontal="center" vertical="center"/>
    </xf>
    <xf numFmtId="164" fontId="3" fillId="4" borderId="74" xfId="0" applyNumberFormat="1" applyFont="1" applyFill="1" applyBorder="1" applyAlignment="1">
      <alignment vertical="center"/>
    </xf>
    <xf numFmtId="3" fontId="3" fillId="4" borderId="6" xfId="0" applyNumberFormat="1" applyFont="1" applyFill="1" applyBorder="1" applyAlignment="1">
      <alignment horizontal="center" vertical="center"/>
    </xf>
    <xf numFmtId="0" fontId="3" fillId="0" borderId="68" xfId="0" applyFont="1" applyBorder="1" applyAlignment="1">
      <alignment horizontal="center" vertical="center" wrapText="1"/>
    </xf>
    <xf numFmtId="165" fontId="3" fillId="4" borderId="7" xfId="0" applyNumberFormat="1" applyFont="1" applyFill="1" applyBorder="1" applyAlignment="1">
      <alignment horizontal="right" vertical="center"/>
    </xf>
    <xf numFmtId="165" fontId="3" fillId="0" borderId="41" xfId="0" applyNumberFormat="1" applyFont="1" applyBorder="1" applyAlignment="1">
      <alignment horizontal="right" vertical="center"/>
    </xf>
    <xf numFmtId="164" fontId="3" fillId="4" borderId="40" xfId="0" applyNumberFormat="1" applyFont="1" applyFill="1" applyBorder="1" applyAlignment="1">
      <alignment horizontal="right" vertical="center"/>
    </xf>
    <xf numFmtId="0" fontId="3" fillId="4" borderId="40" xfId="0" applyFont="1" applyFill="1" applyBorder="1" applyAlignment="1">
      <alignment horizontal="center" vertical="center" wrapText="1"/>
    </xf>
    <xf numFmtId="164" fontId="3" fillId="4" borderId="7" xfId="0" applyNumberFormat="1" applyFont="1" applyFill="1" applyBorder="1" applyAlignment="1">
      <alignment horizontal="center" vertical="center" wrapText="1"/>
    </xf>
    <xf numFmtId="0" fontId="3" fillId="0" borderId="6" xfId="0" applyFont="1" applyBorder="1" applyAlignment="1">
      <alignment horizontal="center" vertical="center" wrapText="1"/>
    </xf>
    <xf numFmtId="164" fontId="3" fillId="0" borderId="40" xfId="0" applyNumberFormat="1" applyFont="1" applyBorder="1" applyAlignment="1">
      <alignment horizontal="center" vertical="center" wrapText="1"/>
    </xf>
    <xf numFmtId="168" fontId="3" fillId="2" borderId="9" xfId="0" applyNumberFormat="1" applyFont="1" applyFill="1" applyBorder="1" applyAlignment="1">
      <alignment vertical="center"/>
    </xf>
    <xf numFmtId="0" fontId="6" fillId="0" borderId="115" xfId="0" applyFont="1" applyBorder="1" applyAlignment="1">
      <alignment vertical="center" wrapText="1"/>
    </xf>
    <xf numFmtId="167" fontId="6" fillId="0" borderId="0" xfId="0" applyNumberFormat="1" applyFont="1" applyAlignment="1">
      <alignment horizontal="center" vertical="center"/>
    </xf>
    <xf numFmtId="3" fontId="6" fillId="0" borderId="0" xfId="0" applyNumberFormat="1" applyFont="1" applyAlignment="1">
      <alignment horizontal="center" vertical="center"/>
    </xf>
    <xf numFmtId="0" fontId="6" fillId="0" borderId="0" xfId="0" applyFont="1" applyAlignment="1">
      <alignment horizontal="left" vertical="center"/>
    </xf>
    <xf numFmtId="165" fontId="6" fillId="0" borderId="0" xfId="0" applyNumberFormat="1" applyFont="1" applyAlignment="1">
      <alignment horizontal="right" vertical="center"/>
    </xf>
    <xf numFmtId="43" fontId="6" fillId="0" borderId="0" xfId="0" applyNumberFormat="1" applyFont="1" applyAlignment="1">
      <alignment vertical="center"/>
    </xf>
    <xf numFmtId="164" fontId="6" fillId="0" borderId="0" xfId="0" applyNumberFormat="1" applyFont="1" applyAlignment="1">
      <alignment horizontal="right" vertical="center" wrapText="1"/>
    </xf>
    <xf numFmtId="164" fontId="6" fillId="0" borderId="0" xfId="0" applyNumberFormat="1" applyFont="1" applyAlignment="1">
      <alignment vertical="center"/>
    </xf>
    <xf numFmtId="165" fontId="6" fillId="0" borderId="118" xfId="0" applyNumberFormat="1" applyFont="1" applyBorder="1" applyAlignment="1">
      <alignment horizontal="right" vertical="center"/>
    </xf>
    <xf numFmtId="165" fontId="6" fillId="0" borderId="0" xfId="0" applyNumberFormat="1" applyFont="1" applyAlignment="1">
      <alignment vertical="center"/>
    </xf>
    <xf numFmtId="0" fontId="3" fillId="3" borderId="0" xfId="0" applyFont="1" applyFill="1" applyAlignment="1">
      <alignment vertical="center"/>
    </xf>
    <xf numFmtId="0" fontId="16" fillId="10" borderId="0" xfId="0" applyFont="1" applyFill="1" applyAlignment="1">
      <alignment vertical="center" wrapText="1"/>
    </xf>
    <xf numFmtId="167" fontId="16" fillId="10" borderId="0" xfId="0" applyNumberFormat="1" applyFont="1" applyFill="1" applyAlignment="1">
      <alignment horizontal="center" vertical="center"/>
    </xf>
    <xf numFmtId="3" fontId="16" fillId="10" borderId="0" xfId="0" applyNumberFormat="1" applyFont="1" applyFill="1" applyAlignment="1">
      <alignment horizontal="center" vertical="center"/>
    </xf>
    <xf numFmtId="0" fontId="16" fillId="10" borderId="0" xfId="0" applyFont="1" applyFill="1" applyAlignment="1">
      <alignment vertical="center" wrapText="1"/>
    </xf>
    <xf numFmtId="0" fontId="16" fillId="10" borderId="0" xfId="0" applyFont="1" applyFill="1" applyAlignment="1">
      <alignment horizontal="left" vertical="center"/>
    </xf>
    <xf numFmtId="164" fontId="16" fillId="10" borderId="0" xfId="0" applyNumberFormat="1" applyFont="1" applyFill="1" applyAlignment="1">
      <alignment horizontal="right" vertical="center"/>
    </xf>
    <xf numFmtId="165" fontId="16" fillId="10" borderId="0" xfId="0" applyNumberFormat="1" applyFont="1" applyFill="1" applyAlignment="1">
      <alignment horizontal="right" vertical="center"/>
    </xf>
    <xf numFmtId="43" fontId="16" fillId="10" borderId="0" xfId="0" applyNumberFormat="1" applyFont="1" applyFill="1" applyAlignment="1">
      <alignment vertical="center"/>
    </xf>
    <xf numFmtId="164" fontId="16" fillId="10" borderId="0" xfId="0" applyNumberFormat="1" applyFont="1" applyFill="1" applyAlignment="1">
      <alignment horizontal="right" vertical="center" wrapText="1"/>
    </xf>
    <xf numFmtId="0" fontId="16" fillId="10" borderId="0" xfId="0" applyFont="1" applyFill="1" applyAlignment="1">
      <alignment vertical="center"/>
    </xf>
    <xf numFmtId="164" fontId="16" fillId="10" borderId="0" xfId="0" applyNumberFormat="1" applyFont="1" applyFill="1" applyAlignment="1">
      <alignment vertical="center"/>
    </xf>
    <xf numFmtId="165" fontId="16" fillId="10" borderId="118" xfId="0" applyNumberFormat="1" applyFont="1" applyFill="1" applyBorder="1" applyAlignment="1">
      <alignment horizontal="right" vertical="center"/>
    </xf>
    <xf numFmtId="165" fontId="16" fillId="10" borderId="9" xfId="0" applyNumberFormat="1" applyFont="1" applyFill="1" applyBorder="1" applyAlignment="1">
      <alignment horizontal="right" vertical="center"/>
    </xf>
    <xf numFmtId="165" fontId="16" fillId="0" borderId="0" xfId="0" applyNumberFormat="1" applyFont="1" applyAlignment="1">
      <alignment vertical="center"/>
    </xf>
    <xf numFmtId="0" fontId="3" fillId="3" borderId="0" xfId="0" applyFont="1" applyFill="1" applyAlignment="1">
      <alignment vertical="center" wrapText="1"/>
    </xf>
    <xf numFmtId="3" fontId="3" fillId="3" borderId="0" xfId="0" applyNumberFormat="1" applyFont="1" applyFill="1" applyAlignment="1">
      <alignment horizontal="center" vertical="center"/>
    </xf>
    <xf numFmtId="0" fontId="3" fillId="3" borderId="0" xfId="0" applyFont="1" applyFill="1" applyAlignment="1">
      <alignment horizontal="left" vertical="center"/>
    </xf>
    <xf numFmtId="164" fontId="3" fillId="3" borderId="0" xfId="0" applyNumberFormat="1" applyFont="1" applyFill="1" applyAlignment="1">
      <alignment horizontal="right" vertical="center"/>
    </xf>
    <xf numFmtId="165" fontId="3" fillId="3" borderId="0" xfId="0" applyNumberFormat="1" applyFont="1" applyFill="1" applyAlignment="1">
      <alignment horizontal="right" vertical="center"/>
    </xf>
    <xf numFmtId="43" fontId="3" fillId="3" borderId="0" xfId="0" applyNumberFormat="1" applyFont="1" applyFill="1" applyAlignment="1">
      <alignment vertical="center"/>
    </xf>
    <xf numFmtId="164" fontId="3" fillId="3" borderId="0" xfId="0" applyNumberFormat="1" applyFont="1" applyFill="1" applyAlignment="1">
      <alignment horizontal="right" vertical="center" wrapText="1"/>
    </xf>
    <xf numFmtId="165" fontId="3" fillId="3" borderId="0" xfId="0" applyNumberFormat="1" applyFont="1" applyFill="1" applyAlignment="1">
      <alignment horizontal="right" vertical="center" wrapText="1"/>
    </xf>
    <xf numFmtId="164" fontId="3" fillId="3" borderId="0" xfId="0" applyNumberFormat="1" applyFont="1" applyFill="1" applyAlignment="1">
      <alignment vertical="center"/>
    </xf>
    <xf numFmtId="164" fontId="3" fillId="3" borderId="0" xfId="0" applyNumberFormat="1" applyFont="1" applyFill="1" applyAlignment="1">
      <alignment horizontal="right" vertical="center" wrapText="1"/>
    </xf>
    <xf numFmtId="165" fontId="3" fillId="3" borderId="118" xfId="0" applyNumberFormat="1" applyFont="1" applyFill="1" applyBorder="1" applyAlignment="1">
      <alignment horizontal="right" vertical="center" wrapText="1"/>
    </xf>
    <xf numFmtId="165" fontId="3" fillId="3" borderId="0" xfId="0" applyNumberFormat="1" applyFont="1" applyFill="1" applyAlignment="1">
      <alignment vertical="center"/>
    </xf>
    <xf numFmtId="168" fontId="3" fillId="3" borderId="0" xfId="0" applyNumberFormat="1" applyFont="1" applyFill="1" applyAlignment="1">
      <alignment vertical="center"/>
    </xf>
    <xf numFmtId="0" fontId="11" fillId="3" borderId="0" xfId="0" applyFont="1" applyFill="1" applyAlignment="1">
      <alignment vertical="center"/>
    </xf>
    <xf numFmtId="167" fontId="11" fillId="2" borderId="0" xfId="0" applyNumberFormat="1" applyFont="1" applyFill="1" applyAlignment="1">
      <alignment horizontal="center" vertical="center"/>
    </xf>
    <xf numFmtId="170" fontId="11" fillId="3" borderId="0" xfId="0" applyNumberFormat="1" applyFont="1" applyFill="1" applyAlignment="1">
      <alignment horizontal="center" vertical="center"/>
    </xf>
    <xf numFmtId="0" fontId="11" fillId="3" borderId="0" xfId="0" applyFont="1" applyFill="1" applyAlignment="1">
      <alignment vertical="center" wrapText="1"/>
    </xf>
    <xf numFmtId="0" fontId="11" fillId="3" borderId="0" xfId="0" applyFont="1" applyFill="1" applyAlignment="1">
      <alignment horizontal="left" vertical="center"/>
    </xf>
    <xf numFmtId="164" fontId="11" fillId="3" borderId="0" xfId="0" applyNumberFormat="1" applyFont="1" applyFill="1" applyAlignment="1">
      <alignment horizontal="right" vertical="center"/>
    </xf>
    <xf numFmtId="165" fontId="11" fillId="3" borderId="0" xfId="0" applyNumberFormat="1" applyFont="1" applyFill="1" applyAlignment="1">
      <alignment horizontal="right" vertical="center"/>
    </xf>
    <xf numFmtId="43" fontId="11" fillId="3" borderId="0" xfId="0" applyNumberFormat="1" applyFont="1" applyFill="1" applyAlignment="1">
      <alignment vertical="center"/>
    </xf>
    <xf numFmtId="164" fontId="11" fillId="3" borderId="0" xfId="0" applyNumberFormat="1" applyFont="1" applyFill="1" applyAlignment="1">
      <alignment horizontal="right" vertical="center" wrapText="1"/>
    </xf>
    <xf numFmtId="0" fontId="17" fillId="3" borderId="0" xfId="0" applyFont="1" applyFill="1" applyAlignment="1">
      <alignment horizontal="center" vertical="center"/>
    </xf>
    <xf numFmtId="164" fontId="17" fillId="3" borderId="0" xfId="0" applyNumberFormat="1" applyFont="1" applyFill="1" applyAlignment="1">
      <alignment horizontal="center" vertical="center"/>
    </xf>
    <xf numFmtId="0" fontId="17" fillId="3" borderId="0" xfId="0" applyFont="1" applyFill="1" applyAlignment="1">
      <alignment horizontal="center" vertical="center" wrapText="1"/>
    </xf>
    <xf numFmtId="164" fontId="17" fillId="3" borderId="0" xfId="0" applyNumberFormat="1" applyFont="1" applyFill="1" applyAlignment="1">
      <alignment horizontal="center" vertical="center" wrapText="1"/>
    </xf>
    <xf numFmtId="165" fontId="11" fillId="3" borderId="118" xfId="0" applyNumberFormat="1" applyFont="1" applyFill="1" applyBorder="1" applyAlignment="1">
      <alignment horizontal="right" vertical="center"/>
    </xf>
    <xf numFmtId="165" fontId="11" fillId="0" borderId="9" xfId="0" applyNumberFormat="1" applyFont="1" applyBorder="1" applyAlignment="1">
      <alignment vertical="center"/>
    </xf>
    <xf numFmtId="165" fontId="11" fillId="0" borderId="0" xfId="0" applyNumberFormat="1" applyFont="1" applyAlignment="1">
      <alignment vertical="center"/>
    </xf>
    <xf numFmtId="168" fontId="11" fillId="2" borderId="9" xfId="0" applyNumberFormat="1" applyFont="1" applyFill="1" applyBorder="1" applyAlignment="1">
      <alignment vertical="center"/>
    </xf>
    <xf numFmtId="168" fontId="11" fillId="0" borderId="9" xfId="0" applyNumberFormat="1" applyFont="1" applyBorder="1" applyAlignment="1">
      <alignment vertical="center"/>
    </xf>
    <xf numFmtId="0" fontId="11" fillId="3" borderId="9" xfId="0" applyFont="1" applyFill="1" applyBorder="1" applyAlignment="1">
      <alignment vertical="center" wrapText="1"/>
    </xf>
    <xf numFmtId="0" fontId="18" fillId="3" borderId="0" xfId="0" applyFont="1" applyFill="1" applyAlignment="1">
      <alignment horizontal="center" vertical="center"/>
    </xf>
    <xf numFmtId="164" fontId="18" fillId="3" borderId="0" xfId="0" applyNumberFormat="1" applyFont="1" applyFill="1" applyAlignment="1">
      <alignment horizontal="center" vertical="center"/>
    </xf>
    <xf numFmtId="0" fontId="18" fillId="3" borderId="0" xfId="0" applyFont="1" applyFill="1" applyAlignment="1">
      <alignment horizontal="center" vertical="center" wrapText="1"/>
    </xf>
    <xf numFmtId="164" fontId="18" fillId="3" borderId="0" xfId="0" applyNumberFormat="1" applyFont="1" applyFill="1" applyAlignment="1">
      <alignment horizontal="center" vertical="center" wrapText="1"/>
    </xf>
    <xf numFmtId="0" fontId="19" fillId="3" borderId="0" xfId="0" applyFont="1" applyFill="1" applyAlignment="1">
      <alignment vertical="center"/>
    </xf>
    <xf numFmtId="0" fontId="19" fillId="3" borderId="115" xfId="0" applyFont="1" applyFill="1" applyBorder="1" applyAlignment="1">
      <alignment vertical="center" wrapText="1"/>
    </xf>
    <xf numFmtId="0" fontId="19" fillId="3" borderId="0" xfId="0" applyFont="1" applyFill="1" applyAlignment="1">
      <alignment vertical="center" wrapText="1"/>
    </xf>
    <xf numFmtId="167" fontId="19" fillId="2" borderId="0" xfId="0" applyNumberFormat="1" applyFont="1" applyFill="1" applyAlignment="1">
      <alignment horizontal="center" vertical="center"/>
    </xf>
    <xf numFmtId="3" fontId="19" fillId="2" borderId="0" xfId="0" applyNumberFormat="1" applyFont="1" applyFill="1" applyAlignment="1">
      <alignment horizontal="center" vertical="center"/>
    </xf>
    <xf numFmtId="0" fontId="18" fillId="3" borderId="0" xfId="0" applyFont="1" applyFill="1" applyAlignment="1">
      <alignment horizontal="center" vertical="center"/>
    </xf>
    <xf numFmtId="164" fontId="18" fillId="3" borderId="0" xfId="0" applyNumberFormat="1" applyFont="1" applyFill="1" applyAlignment="1">
      <alignment horizontal="center" vertical="center"/>
    </xf>
    <xf numFmtId="165" fontId="19" fillId="3" borderId="0" xfId="0" applyNumberFormat="1" applyFont="1" applyFill="1" applyAlignment="1">
      <alignment horizontal="right" vertical="center"/>
    </xf>
    <xf numFmtId="43" fontId="19" fillId="3" borderId="0" xfId="0" applyNumberFormat="1" applyFont="1" applyFill="1" applyAlignment="1">
      <alignment vertical="center"/>
    </xf>
    <xf numFmtId="164" fontId="19" fillId="3" borderId="0" xfId="0" applyNumberFormat="1" applyFont="1" applyFill="1" applyAlignment="1">
      <alignment horizontal="right" vertical="center" wrapText="1"/>
    </xf>
    <xf numFmtId="164" fontId="18" fillId="3" borderId="0" xfId="0" applyNumberFormat="1" applyFont="1" applyFill="1" applyAlignment="1">
      <alignment horizontal="center" vertical="center"/>
    </xf>
    <xf numFmtId="165" fontId="19" fillId="3" borderId="118" xfId="0" applyNumberFormat="1" applyFont="1" applyFill="1" applyBorder="1" applyAlignment="1">
      <alignment horizontal="right" vertical="center"/>
    </xf>
    <xf numFmtId="0" fontId="19" fillId="0" borderId="0" xfId="0" applyFont="1" applyAlignment="1">
      <alignment vertical="center"/>
    </xf>
    <xf numFmtId="165" fontId="19" fillId="0" borderId="9" xfId="0" applyNumberFormat="1" applyFont="1" applyBorder="1" applyAlignment="1">
      <alignment vertical="center"/>
    </xf>
    <xf numFmtId="165" fontId="19" fillId="0" borderId="0" xfId="0" applyNumberFormat="1" applyFont="1" applyAlignment="1">
      <alignment vertical="center"/>
    </xf>
    <xf numFmtId="168" fontId="19" fillId="2" borderId="9" xfId="0" applyNumberFormat="1" applyFont="1" applyFill="1" applyBorder="1" applyAlignment="1">
      <alignment vertical="center"/>
    </xf>
    <xf numFmtId="168" fontId="19" fillId="0" borderId="9" xfId="0" applyNumberFormat="1" applyFont="1" applyBorder="1" applyAlignment="1">
      <alignment vertical="center"/>
    </xf>
    <xf numFmtId="168" fontId="18" fillId="0" borderId="9" xfId="0" applyNumberFormat="1" applyFont="1" applyBorder="1" applyAlignment="1">
      <alignment vertical="center"/>
    </xf>
    <xf numFmtId="0" fontId="19" fillId="3" borderId="0" xfId="0" applyFont="1" applyFill="1" applyAlignment="1">
      <alignment vertical="center"/>
    </xf>
    <xf numFmtId="0" fontId="19" fillId="3" borderId="9" xfId="0" applyFont="1" applyFill="1" applyBorder="1" applyAlignment="1">
      <alignment vertical="center" wrapText="1"/>
    </xf>
    <xf numFmtId="0" fontId="19" fillId="3" borderId="0" xfId="0" applyFont="1" applyFill="1" applyAlignment="1">
      <alignment vertical="center" wrapText="1"/>
    </xf>
    <xf numFmtId="0" fontId="16" fillId="11" borderId="0" xfId="0" applyFont="1" applyFill="1" applyAlignment="1">
      <alignment vertical="center" wrapText="1"/>
    </xf>
    <xf numFmtId="167" fontId="16" fillId="11" borderId="0" xfId="0" applyNumberFormat="1" applyFont="1" applyFill="1" applyAlignment="1">
      <alignment horizontal="center" vertical="center"/>
    </xf>
    <xf numFmtId="3" fontId="16" fillId="11" borderId="0" xfId="0" applyNumberFormat="1" applyFont="1" applyFill="1" applyAlignment="1">
      <alignment horizontal="center" vertical="center"/>
    </xf>
    <xf numFmtId="0" fontId="16" fillId="11" borderId="0" xfId="0" applyFont="1" applyFill="1" applyAlignment="1">
      <alignment vertical="center" wrapText="1"/>
    </xf>
    <xf numFmtId="0" fontId="16" fillId="11" borderId="0" xfId="0" applyFont="1" applyFill="1" applyAlignment="1">
      <alignment horizontal="left" vertical="center"/>
    </xf>
    <xf numFmtId="164" fontId="16" fillId="11" borderId="0" xfId="0" applyNumberFormat="1" applyFont="1" applyFill="1" applyAlignment="1">
      <alignment horizontal="right" vertical="center"/>
    </xf>
    <xf numFmtId="165" fontId="16" fillId="11" borderId="0" xfId="0" applyNumberFormat="1" applyFont="1" applyFill="1" applyAlignment="1">
      <alignment horizontal="right" vertical="center"/>
    </xf>
    <xf numFmtId="43" fontId="16" fillId="11" borderId="0" xfId="0" applyNumberFormat="1" applyFont="1" applyFill="1" applyAlignment="1">
      <alignment vertical="center"/>
    </xf>
    <xf numFmtId="164" fontId="16" fillId="11" borderId="0" xfId="0" applyNumberFormat="1" applyFont="1" applyFill="1" applyAlignment="1">
      <alignment horizontal="right" vertical="center" wrapText="1"/>
    </xf>
    <xf numFmtId="0" fontId="16" fillId="11" borderId="0" xfId="0" applyFont="1" applyFill="1" applyAlignment="1">
      <alignment vertical="center"/>
    </xf>
    <xf numFmtId="164" fontId="16" fillId="11" borderId="0" xfId="0" applyNumberFormat="1" applyFont="1" applyFill="1" applyAlignment="1">
      <alignment vertical="center"/>
    </xf>
    <xf numFmtId="165" fontId="16" fillId="11" borderId="118" xfId="0" applyNumberFormat="1" applyFont="1" applyFill="1" applyBorder="1" applyAlignment="1">
      <alignment horizontal="right" vertical="center"/>
    </xf>
    <xf numFmtId="165" fontId="16" fillId="11" borderId="9" xfId="0" applyNumberFormat="1" applyFont="1" applyFill="1" applyBorder="1" applyAlignment="1">
      <alignment horizontal="right" vertical="center"/>
    </xf>
    <xf numFmtId="0" fontId="3" fillId="3" borderId="9" xfId="0" applyFont="1" applyFill="1" applyBorder="1" applyAlignment="1">
      <alignment vertical="center" wrapText="1"/>
    </xf>
    <xf numFmtId="0" fontId="3" fillId="3" borderId="119" xfId="0" applyFont="1" applyFill="1" applyBorder="1" applyAlignment="1">
      <alignment vertical="center" wrapText="1"/>
    </xf>
    <xf numFmtId="0" fontId="3" fillId="3" borderId="20" xfId="0" applyFont="1" applyFill="1" applyBorder="1" applyAlignment="1">
      <alignment vertical="center" wrapText="1"/>
    </xf>
    <xf numFmtId="167" fontId="3" fillId="3" borderId="20" xfId="0" applyNumberFormat="1" applyFont="1" applyFill="1" applyBorder="1" applyAlignment="1">
      <alignment horizontal="center" vertical="center"/>
    </xf>
    <xf numFmtId="3" fontId="3" fillId="3" borderId="20" xfId="0" applyNumberFormat="1" applyFont="1" applyFill="1" applyBorder="1" applyAlignment="1">
      <alignment horizontal="center" vertical="center"/>
    </xf>
    <xf numFmtId="0" fontId="3" fillId="3" borderId="20" xfId="0" applyFont="1" applyFill="1" applyBorder="1" applyAlignment="1">
      <alignment vertical="center" wrapText="1"/>
    </xf>
    <xf numFmtId="0" fontId="3" fillId="3" borderId="20" xfId="0" applyFont="1" applyFill="1" applyBorder="1" applyAlignment="1">
      <alignment horizontal="left" vertical="center"/>
    </xf>
    <xf numFmtId="165" fontId="3" fillId="3" borderId="20" xfId="0" applyNumberFormat="1" applyFont="1" applyFill="1" applyBorder="1" applyAlignment="1">
      <alignment horizontal="right" vertical="center"/>
    </xf>
    <xf numFmtId="43" fontId="3" fillId="3" borderId="20" xfId="0" applyNumberFormat="1" applyFont="1" applyFill="1" applyBorder="1" applyAlignment="1">
      <alignment vertical="center"/>
    </xf>
    <xf numFmtId="164" fontId="3" fillId="3" borderId="20" xfId="0" applyNumberFormat="1" applyFont="1" applyFill="1" applyBorder="1" applyAlignment="1">
      <alignment horizontal="right" vertical="center" wrapText="1"/>
    </xf>
    <xf numFmtId="165" fontId="3" fillId="3" borderId="20" xfId="0" applyNumberFormat="1" applyFont="1" applyFill="1" applyBorder="1" applyAlignment="1">
      <alignment horizontal="right" vertical="center" wrapText="1"/>
    </xf>
    <xf numFmtId="0" fontId="3" fillId="3" borderId="20" xfId="0" applyFont="1" applyFill="1" applyBorder="1" applyAlignment="1">
      <alignment vertical="center"/>
    </xf>
    <xf numFmtId="164" fontId="3" fillId="3" borderId="20" xfId="0" applyNumberFormat="1" applyFont="1" applyFill="1" applyBorder="1" applyAlignment="1">
      <alignment vertical="center"/>
    </xf>
    <xf numFmtId="164" fontId="3" fillId="3" borderId="20" xfId="0" applyNumberFormat="1" applyFont="1" applyFill="1" applyBorder="1" applyAlignment="1">
      <alignment horizontal="right" vertical="center" wrapText="1"/>
    </xf>
    <xf numFmtId="165" fontId="3" fillId="3" borderId="120" xfId="0" applyNumberFormat="1" applyFont="1" applyFill="1" applyBorder="1" applyAlignment="1">
      <alignment horizontal="right" vertical="center" wrapText="1"/>
    </xf>
    <xf numFmtId="0" fontId="5" fillId="0" borderId="141" xfId="0" applyFont="1" applyBorder="1" applyAlignment="1">
      <alignment vertical="center" wrapText="1"/>
    </xf>
    <xf numFmtId="0" fontId="3" fillId="0" borderId="141" xfId="0" applyFont="1" applyBorder="1" applyAlignment="1">
      <alignment vertical="center" wrapText="1"/>
    </xf>
    <xf numFmtId="167" fontId="3" fillId="0" borderId="141" xfId="0" applyNumberFormat="1" applyFont="1" applyBorder="1" applyAlignment="1">
      <alignment horizontal="center" vertical="center" wrapText="1"/>
    </xf>
    <xf numFmtId="167" fontId="3" fillId="0" borderId="141" xfId="0" applyNumberFormat="1" applyFont="1" applyBorder="1" applyAlignment="1">
      <alignment horizontal="center" vertical="center"/>
    </xf>
    <xf numFmtId="3" fontId="3" fillId="0" borderId="141" xfId="0" applyNumberFormat="1" applyFont="1" applyBorder="1" applyAlignment="1">
      <alignment horizontal="center" vertical="center"/>
    </xf>
    <xf numFmtId="0" fontId="3" fillId="0" borderId="141" xfId="0" applyFont="1" applyBorder="1" applyAlignment="1">
      <alignment horizontal="left" vertical="center" wrapText="1"/>
    </xf>
    <xf numFmtId="164" fontId="3" fillId="0" borderId="141" xfId="0" applyNumberFormat="1" applyFont="1" applyBorder="1" applyAlignment="1">
      <alignment horizontal="right" vertical="center"/>
    </xf>
    <xf numFmtId="165" fontId="3" fillId="0" borderId="141" xfId="0" applyNumberFormat="1" applyFont="1" applyBorder="1" applyAlignment="1">
      <alignment horizontal="right" vertical="center"/>
    </xf>
    <xf numFmtId="165" fontId="3" fillId="0" borderId="141" xfId="0" applyNumberFormat="1" applyFont="1" applyBorder="1" applyAlignment="1">
      <alignment horizontal="right" vertical="center" wrapText="1"/>
    </xf>
    <xf numFmtId="0" fontId="3" fillId="0" borderId="141" xfId="0" applyFont="1" applyBorder="1" applyAlignment="1">
      <alignment vertical="center" wrapText="1"/>
    </xf>
    <xf numFmtId="164" fontId="3" fillId="0" borderId="141" xfId="0" applyNumberFormat="1" applyFont="1" applyBorder="1" applyAlignment="1">
      <alignment horizontal="right" vertical="center" wrapText="1"/>
    </xf>
    <xf numFmtId="164" fontId="3" fillId="0" borderId="141" xfId="0" applyNumberFormat="1" applyFont="1" applyBorder="1" applyAlignment="1">
      <alignment horizontal="right" vertical="center" wrapText="1"/>
    </xf>
    <xf numFmtId="0" fontId="3" fillId="0" borderId="141" xfId="0" applyFont="1" applyBorder="1" applyAlignment="1">
      <alignment vertical="center"/>
    </xf>
    <xf numFmtId="165" fontId="3" fillId="0" borderId="141" xfId="0" applyNumberFormat="1" applyFont="1" applyBorder="1" applyAlignment="1">
      <alignment vertical="center"/>
    </xf>
    <xf numFmtId="168" fontId="3" fillId="0" borderId="141" xfId="0" applyNumberFormat="1" applyFont="1" applyBorder="1" applyAlignment="1">
      <alignment vertical="center"/>
    </xf>
    <xf numFmtId="3" fontId="3" fillId="0" borderId="0" xfId="0" applyNumberFormat="1" applyFont="1" applyAlignment="1">
      <alignment horizontal="center" vertical="center"/>
    </xf>
    <xf numFmtId="43" fontId="3" fillId="0" borderId="0" xfId="0" applyNumberFormat="1" applyFont="1" applyAlignment="1">
      <alignment horizontal="center" vertical="center"/>
    </xf>
    <xf numFmtId="165" fontId="3" fillId="0" borderId="0" xfId="0" applyNumberFormat="1" applyFont="1" applyAlignment="1">
      <alignment horizontal="right" vertical="center" wrapText="1"/>
    </xf>
    <xf numFmtId="164" fontId="3" fillId="0" borderId="0" xfId="0" applyNumberFormat="1" applyFont="1" applyAlignment="1">
      <alignment horizontal="center" vertical="center" wrapText="1"/>
    </xf>
    <xf numFmtId="0" fontId="3" fillId="0" borderId="142" xfId="0" applyFont="1" applyBorder="1" applyAlignment="1">
      <alignment vertical="center" wrapText="1"/>
    </xf>
    <xf numFmtId="0" fontId="3" fillId="0" borderId="143" xfId="0" applyFont="1" applyBorder="1" applyAlignment="1">
      <alignment vertical="center" wrapText="1"/>
    </xf>
    <xf numFmtId="167" fontId="3" fillId="2" borderId="24" xfId="0" applyNumberFormat="1" applyFont="1" applyFill="1" applyBorder="1" applyAlignment="1">
      <alignment horizontal="center" vertical="center"/>
    </xf>
    <xf numFmtId="3" fontId="3" fillId="2" borderId="25" xfId="0" applyNumberFormat="1" applyFont="1" applyFill="1" applyBorder="1" applyAlignment="1">
      <alignment horizontal="center" vertical="center"/>
    </xf>
    <xf numFmtId="0" fontId="3" fillId="0" borderId="24" xfId="0" applyFont="1" applyBorder="1" applyAlignment="1">
      <alignment horizontal="center" vertical="center"/>
    </xf>
    <xf numFmtId="165" fontId="3" fillId="0" borderId="24" xfId="0" applyNumberFormat="1" applyFont="1" applyBorder="1" applyAlignment="1">
      <alignment horizontal="center" vertical="center"/>
    </xf>
    <xf numFmtId="165" fontId="3" fillId="0" borderId="144" xfId="0" applyNumberFormat="1" applyFont="1" applyBorder="1" applyAlignment="1">
      <alignment horizontal="right" vertical="center"/>
    </xf>
    <xf numFmtId="43" fontId="3" fillId="0" borderId="23" xfId="0" applyNumberFormat="1" applyFont="1" applyBorder="1" applyAlignment="1">
      <alignment horizontal="center" vertical="center"/>
    </xf>
    <xf numFmtId="165" fontId="3" fillId="0" borderId="24" xfId="0" applyNumberFormat="1" applyFont="1" applyBorder="1" applyAlignment="1">
      <alignment horizontal="center" vertical="center" wrapText="1"/>
    </xf>
    <xf numFmtId="165" fontId="3" fillId="0" borderId="145" xfId="0" applyNumberFormat="1" applyFont="1" applyBorder="1" applyAlignment="1">
      <alignment horizontal="right" vertical="center"/>
    </xf>
    <xf numFmtId="165" fontId="3" fillId="0" borderId="98" xfId="0" applyNumberFormat="1" applyFont="1" applyBorder="1" applyAlignment="1">
      <alignment horizontal="right" vertical="center" wrapText="1"/>
    </xf>
    <xf numFmtId="164" fontId="3" fillId="0" borderId="24" xfId="0" applyNumberFormat="1" applyFont="1" applyBorder="1" applyAlignment="1">
      <alignment horizontal="center" vertical="center"/>
    </xf>
    <xf numFmtId="164" fontId="3" fillId="0" borderId="24" xfId="0" applyNumberFormat="1" applyFont="1" applyBorder="1" applyAlignment="1">
      <alignment horizontal="center" vertical="center" wrapText="1"/>
    </xf>
    <xf numFmtId="0" fontId="3" fillId="0" borderId="146" xfId="0" applyFont="1" applyBorder="1" applyAlignment="1">
      <alignment vertical="center" wrapText="1"/>
    </xf>
    <xf numFmtId="3" fontId="3" fillId="2" borderId="29" xfId="0" applyNumberFormat="1" applyFont="1" applyFill="1" applyBorder="1" applyAlignment="1">
      <alignment horizontal="center" vertical="center"/>
    </xf>
    <xf numFmtId="165" fontId="3" fillId="0" borderId="9" xfId="0" applyNumberFormat="1" applyFont="1" applyBorder="1" applyAlignment="1">
      <alignment horizontal="center" vertical="center"/>
    </xf>
    <xf numFmtId="165" fontId="3" fillId="0" borderId="47" xfId="0" applyNumberFormat="1" applyFont="1" applyBorder="1" applyAlignment="1">
      <alignment horizontal="right" vertical="center"/>
    </xf>
    <xf numFmtId="165" fontId="3" fillId="0" borderId="9" xfId="0" applyNumberFormat="1" applyFont="1" applyBorder="1" applyAlignment="1">
      <alignment horizontal="center" vertical="center" wrapText="1"/>
    </xf>
    <xf numFmtId="165" fontId="3" fillId="0" borderId="127" xfId="0" applyNumberFormat="1" applyFont="1" applyBorder="1" applyAlignment="1">
      <alignment horizontal="right" vertical="center"/>
    </xf>
    <xf numFmtId="165" fontId="3" fillId="0" borderId="32" xfId="0" applyNumberFormat="1" applyFont="1" applyBorder="1" applyAlignment="1">
      <alignment horizontal="right" vertical="center" wrapText="1"/>
    </xf>
    <xf numFmtId="164" fontId="3" fillId="0" borderId="9" xfId="0" applyNumberFormat="1" applyFont="1" applyBorder="1" applyAlignment="1">
      <alignment horizontal="center" vertical="center"/>
    </xf>
    <xf numFmtId="165" fontId="3" fillId="4" borderId="29" xfId="0" applyNumberFormat="1" applyFont="1" applyFill="1" applyBorder="1" applyAlignment="1">
      <alignment horizontal="right" vertical="center" wrapText="1"/>
    </xf>
    <xf numFmtId="164" fontId="3" fillId="0" borderId="9" xfId="0" applyNumberFormat="1" applyFont="1" applyBorder="1" applyAlignment="1">
      <alignment horizontal="center" vertical="center" wrapText="1"/>
    </xf>
    <xf numFmtId="168" fontId="3" fillId="2" borderId="46" xfId="0" applyNumberFormat="1" applyFont="1" applyFill="1" applyBorder="1" applyAlignment="1">
      <alignment vertical="center"/>
    </xf>
    <xf numFmtId="168" fontId="3" fillId="0" borderId="46" xfId="0" applyNumberFormat="1" applyFont="1" applyBorder="1" applyAlignment="1">
      <alignment vertical="center"/>
    </xf>
    <xf numFmtId="0" fontId="3" fillId="0" borderId="147" xfId="0" applyFont="1" applyBorder="1" applyAlignment="1">
      <alignment vertical="center" wrapText="1"/>
    </xf>
    <xf numFmtId="167" fontId="3" fillId="2" borderId="46" xfId="0" applyNumberFormat="1" applyFont="1" applyFill="1" applyBorder="1" applyAlignment="1">
      <alignment horizontal="center" vertical="center"/>
    </xf>
    <xf numFmtId="3" fontId="3" fillId="4" borderId="47" xfId="0" applyNumberFormat="1" applyFont="1" applyFill="1" applyBorder="1" applyAlignment="1">
      <alignment horizontal="center" vertical="center"/>
    </xf>
    <xf numFmtId="0" fontId="3" fillId="0" borderId="46" xfId="0" applyFont="1" applyBorder="1" applyAlignment="1">
      <alignment horizontal="center" vertical="center"/>
    </xf>
    <xf numFmtId="165" fontId="3" fillId="0" borderId="46" xfId="0" applyNumberFormat="1" applyFont="1" applyBorder="1" applyAlignment="1">
      <alignment horizontal="center" vertical="center"/>
    </xf>
    <xf numFmtId="43" fontId="3" fillId="0" borderId="3" xfId="0" applyNumberFormat="1" applyFont="1" applyBorder="1" applyAlignment="1">
      <alignment horizontal="center" vertical="center"/>
    </xf>
    <xf numFmtId="165" fontId="3" fillId="3" borderId="1" xfId="0" applyNumberFormat="1" applyFont="1" applyFill="1" applyBorder="1" applyAlignment="1">
      <alignment horizontal="right" vertical="center"/>
    </xf>
    <xf numFmtId="0" fontId="3" fillId="0" borderId="148" xfId="0" applyFont="1" applyBorder="1" applyAlignment="1">
      <alignment vertical="center" wrapText="1"/>
    </xf>
    <xf numFmtId="3" fontId="3" fillId="4" borderId="37" xfId="0" applyNumberFormat="1" applyFont="1" applyFill="1" applyBorder="1" applyAlignment="1">
      <alignment horizontal="center" vertical="center"/>
    </xf>
    <xf numFmtId="165" fontId="3" fillId="0" borderId="36" xfId="0" applyNumberFormat="1" applyFont="1" applyBorder="1" applyAlignment="1">
      <alignment horizontal="center" vertical="center"/>
    </xf>
    <xf numFmtId="165" fontId="3" fillId="0" borderId="1" xfId="0" applyNumberFormat="1" applyFont="1" applyBorder="1" applyAlignment="1">
      <alignment horizontal="right" vertical="center"/>
    </xf>
    <xf numFmtId="165" fontId="3" fillId="0" borderId="34" xfId="0" applyNumberFormat="1" applyFont="1" applyBorder="1" applyAlignment="1">
      <alignment horizontal="right" vertical="center" wrapText="1"/>
    </xf>
    <xf numFmtId="165" fontId="3" fillId="0" borderId="36" xfId="0" applyNumberFormat="1" applyFont="1" applyBorder="1" applyAlignment="1">
      <alignment horizontal="right" vertical="center"/>
    </xf>
    <xf numFmtId="165" fontId="5" fillId="3" borderId="0" xfId="0" applyNumberFormat="1" applyFont="1" applyFill="1" applyAlignment="1">
      <alignment vertical="center"/>
    </xf>
    <xf numFmtId="165" fontId="5" fillId="11" borderId="17" xfId="0" applyNumberFormat="1" applyFont="1" applyFill="1" applyBorder="1" applyAlignment="1">
      <alignment vertical="center" wrapText="1"/>
    </xf>
    <xf numFmtId="167" fontId="5" fillId="11" borderId="17" xfId="0" applyNumberFormat="1" applyFont="1" applyFill="1" applyBorder="1" applyAlignment="1">
      <alignment horizontal="center" vertical="center" wrapText="1"/>
    </xf>
    <xf numFmtId="165" fontId="5" fillId="11" borderId="18" xfId="0" applyNumberFormat="1" applyFont="1" applyFill="1" applyBorder="1" applyAlignment="1">
      <alignment vertical="center" wrapText="1"/>
    </xf>
    <xf numFmtId="165" fontId="5" fillId="11" borderId="17" xfId="0" applyNumberFormat="1" applyFont="1" applyFill="1" applyBorder="1" applyAlignment="1">
      <alignment horizontal="left" vertical="center"/>
    </xf>
    <xf numFmtId="165" fontId="5" fillId="11" borderId="17" xfId="0" applyNumberFormat="1" applyFont="1" applyFill="1" applyBorder="1" applyAlignment="1">
      <alignment vertical="center"/>
    </xf>
    <xf numFmtId="165" fontId="5" fillId="11" borderId="19" xfId="0" applyNumberFormat="1" applyFont="1" applyFill="1" applyBorder="1" applyAlignment="1">
      <alignment horizontal="right" vertical="center" wrapText="1"/>
    </xf>
    <xf numFmtId="165" fontId="5" fillId="11" borderId="17" xfId="0" applyNumberFormat="1" applyFont="1" applyFill="1" applyBorder="1" applyAlignment="1">
      <alignment vertical="center"/>
    </xf>
    <xf numFmtId="165" fontId="5" fillId="11" borderId="17" xfId="0" applyNumberFormat="1" applyFont="1" applyFill="1" applyBorder="1" applyAlignment="1">
      <alignment horizontal="right" vertical="center" wrapText="1"/>
    </xf>
    <xf numFmtId="165" fontId="5" fillId="11" borderId="16" xfId="0" applyNumberFormat="1" applyFont="1" applyFill="1" applyBorder="1" applyAlignment="1">
      <alignment horizontal="right" vertical="center" wrapText="1"/>
    </xf>
    <xf numFmtId="165" fontId="5" fillId="11" borderId="17" xfId="0" applyNumberFormat="1" applyFont="1" applyFill="1" applyBorder="1" applyAlignment="1">
      <alignment vertical="center"/>
    </xf>
    <xf numFmtId="165" fontId="5" fillId="11" borderId="150" xfId="0" applyNumberFormat="1" applyFont="1" applyFill="1" applyBorder="1" applyAlignment="1">
      <alignment horizontal="right" vertical="center" wrapText="1"/>
    </xf>
    <xf numFmtId="165" fontId="5" fillId="11" borderId="88" xfId="0" applyNumberFormat="1" applyFont="1" applyFill="1" applyBorder="1" applyAlignment="1">
      <alignment vertical="center"/>
    </xf>
    <xf numFmtId="165" fontId="5" fillId="0" borderId="0" xfId="0" applyNumberFormat="1" applyFont="1" applyAlignment="1">
      <alignment vertical="center"/>
    </xf>
    <xf numFmtId="165" fontId="5" fillId="0" borderId="9" xfId="0" applyNumberFormat="1" applyFont="1" applyBorder="1" applyAlignment="1">
      <alignment vertical="center" wrapText="1"/>
    </xf>
    <xf numFmtId="0" fontId="3" fillId="3" borderId="141" xfId="0" applyFont="1" applyFill="1" applyBorder="1" applyAlignment="1">
      <alignment vertical="center" wrapText="1"/>
    </xf>
    <xf numFmtId="167" fontId="3" fillId="3" borderId="141" xfId="0" applyNumberFormat="1" applyFont="1" applyFill="1" applyBorder="1" applyAlignment="1">
      <alignment horizontal="center" vertical="center"/>
    </xf>
    <xf numFmtId="3" fontId="3" fillId="3" borderId="141" xfId="0" applyNumberFormat="1" applyFont="1" applyFill="1" applyBorder="1" applyAlignment="1">
      <alignment horizontal="center" vertical="center"/>
    </xf>
    <xf numFmtId="0" fontId="3" fillId="3" borderId="141" xfId="0" applyFont="1" applyFill="1" applyBorder="1" applyAlignment="1">
      <alignment vertical="center" wrapText="1"/>
    </xf>
    <xf numFmtId="0" fontId="3" fillId="3" borderId="141" xfId="0" applyFont="1" applyFill="1" applyBorder="1" applyAlignment="1">
      <alignment horizontal="left" vertical="center"/>
    </xf>
    <xf numFmtId="165" fontId="3" fillId="3" borderId="141" xfId="0" applyNumberFormat="1" applyFont="1" applyFill="1" applyBorder="1" applyAlignment="1">
      <alignment horizontal="right" vertical="center"/>
    </xf>
    <xf numFmtId="43" fontId="3" fillId="3" borderId="141" xfId="0" applyNumberFormat="1" applyFont="1" applyFill="1" applyBorder="1" applyAlignment="1">
      <alignment vertical="center"/>
    </xf>
    <xf numFmtId="164" fontId="3" fillId="3" borderId="141" xfId="0" applyNumberFormat="1" applyFont="1" applyFill="1" applyBorder="1" applyAlignment="1">
      <alignment horizontal="right" vertical="center" wrapText="1"/>
    </xf>
    <xf numFmtId="165" fontId="3" fillId="3" borderId="141" xfId="0" applyNumberFormat="1" applyFont="1" applyFill="1" applyBorder="1" applyAlignment="1">
      <alignment horizontal="right" vertical="center" wrapText="1"/>
    </xf>
    <xf numFmtId="0" fontId="3" fillId="3" borderId="141" xfId="0" applyFont="1" applyFill="1" applyBorder="1" applyAlignment="1">
      <alignment vertical="center"/>
    </xf>
    <xf numFmtId="164" fontId="3" fillId="3" borderId="141" xfId="0" applyNumberFormat="1" applyFont="1" applyFill="1" applyBorder="1" applyAlignment="1">
      <alignment vertical="center"/>
    </xf>
    <xf numFmtId="164" fontId="3" fillId="3" borderId="141" xfId="0" applyNumberFormat="1" applyFont="1" applyFill="1" applyBorder="1" applyAlignment="1">
      <alignment horizontal="right" vertical="center" wrapText="1"/>
    </xf>
    <xf numFmtId="165" fontId="3" fillId="3" borderId="141" xfId="0" applyNumberFormat="1" applyFont="1" applyFill="1" applyBorder="1" applyAlignment="1">
      <alignment vertical="center"/>
    </xf>
    <xf numFmtId="168" fontId="3" fillId="3" borderId="141" xfId="0" applyNumberFormat="1" applyFont="1" applyFill="1" applyBorder="1" applyAlignment="1">
      <alignment vertical="center"/>
    </xf>
    <xf numFmtId="0" fontId="3" fillId="3" borderId="151" xfId="0" applyFont="1" applyFill="1" applyBorder="1" applyAlignment="1">
      <alignment vertical="center" wrapText="1"/>
    </xf>
    <xf numFmtId="167" fontId="3" fillId="3" borderId="151" xfId="0" applyNumberFormat="1" applyFont="1" applyFill="1" applyBorder="1" applyAlignment="1">
      <alignment horizontal="center" vertical="center"/>
    </xf>
    <xf numFmtId="3" fontId="3" fillId="3" borderId="151" xfId="0" applyNumberFormat="1" applyFont="1" applyFill="1" applyBorder="1" applyAlignment="1">
      <alignment horizontal="center" vertical="center"/>
    </xf>
    <xf numFmtId="0" fontId="3" fillId="3" borderId="151" xfId="0" applyFont="1" applyFill="1" applyBorder="1" applyAlignment="1">
      <alignment vertical="center" wrapText="1"/>
    </xf>
    <xf numFmtId="0" fontId="3" fillId="3" borderId="151" xfId="0" applyFont="1" applyFill="1" applyBorder="1" applyAlignment="1">
      <alignment horizontal="left" vertical="center"/>
    </xf>
    <xf numFmtId="165" fontId="3" fillId="3" borderId="151" xfId="0" applyNumberFormat="1" applyFont="1" applyFill="1" applyBorder="1" applyAlignment="1">
      <alignment horizontal="right" vertical="center"/>
    </xf>
    <xf numFmtId="43" fontId="3" fillId="3" borderId="151" xfId="0" applyNumberFormat="1" applyFont="1" applyFill="1" applyBorder="1" applyAlignment="1">
      <alignment vertical="center"/>
    </xf>
    <xf numFmtId="164" fontId="3" fillId="3" borderId="151" xfId="0" applyNumberFormat="1" applyFont="1" applyFill="1" applyBorder="1" applyAlignment="1">
      <alignment horizontal="right" vertical="center" wrapText="1"/>
    </xf>
    <xf numFmtId="165" fontId="3" fillId="3" borderId="151" xfId="0" applyNumberFormat="1" applyFont="1" applyFill="1" applyBorder="1" applyAlignment="1">
      <alignment horizontal="right" vertical="center" wrapText="1"/>
    </xf>
    <xf numFmtId="0" fontId="3" fillId="3" borderId="151" xfId="0" applyFont="1" applyFill="1" applyBorder="1" applyAlignment="1">
      <alignment vertical="center"/>
    </xf>
    <xf numFmtId="164" fontId="3" fillId="3" borderId="151" xfId="0" applyNumberFormat="1" applyFont="1" applyFill="1" applyBorder="1" applyAlignment="1">
      <alignment vertical="center"/>
    </xf>
    <xf numFmtId="164" fontId="3" fillId="3" borderId="151" xfId="0" applyNumberFormat="1" applyFont="1" applyFill="1" applyBorder="1" applyAlignment="1">
      <alignment horizontal="right" vertical="center" wrapText="1"/>
    </xf>
    <xf numFmtId="165" fontId="3" fillId="3" borderId="151" xfId="0" applyNumberFormat="1" applyFont="1" applyFill="1" applyBorder="1" applyAlignment="1">
      <alignment vertical="center"/>
    </xf>
    <xf numFmtId="168" fontId="3" fillId="3" borderId="151" xfId="0" applyNumberFormat="1" applyFont="1" applyFill="1" applyBorder="1" applyAlignment="1">
      <alignment vertical="center"/>
    </xf>
    <xf numFmtId="0" fontId="3" fillId="3" borderId="98" xfId="0" applyFont="1" applyFill="1" applyBorder="1" applyAlignment="1">
      <alignment vertical="center" wrapText="1"/>
    </xf>
    <xf numFmtId="0" fontId="3" fillId="3" borderId="143" xfId="0" applyFont="1" applyFill="1" applyBorder="1" applyAlignment="1">
      <alignment vertical="center" wrapText="1"/>
    </xf>
    <xf numFmtId="0" fontId="3" fillId="3" borderId="23" xfId="0" applyFont="1" applyFill="1" applyBorder="1" applyAlignment="1">
      <alignment horizontal="center" vertical="center" wrapText="1"/>
    </xf>
    <xf numFmtId="0" fontId="3" fillId="3" borderId="24" xfId="0" applyFont="1" applyFill="1" applyBorder="1" applyAlignment="1">
      <alignment horizontal="center" vertical="center"/>
    </xf>
    <xf numFmtId="164" fontId="3" fillId="3" borderId="24" xfId="0" applyNumberFormat="1" applyFont="1" applyFill="1" applyBorder="1" applyAlignment="1">
      <alignment horizontal="center" vertical="center"/>
    </xf>
    <xf numFmtId="165" fontId="19" fillId="4" borderId="25" xfId="0" applyNumberFormat="1" applyFont="1" applyFill="1" applyBorder="1" applyAlignment="1">
      <alignment horizontal="right" vertical="center"/>
    </xf>
    <xf numFmtId="43" fontId="3" fillId="3" borderId="23" xfId="0" applyNumberFormat="1" applyFont="1" applyFill="1" applyBorder="1" applyAlignment="1">
      <alignment horizontal="center" vertical="center"/>
    </xf>
    <xf numFmtId="164" fontId="3" fillId="3" borderId="24" xfId="0" applyNumberFormat="1" applyFont="1" applyFill="1" applyBorder="1" applyAlignment="1">
      <alignment horizontal="center" vertical="center" wrapText="1"/>
    </xf>
    <xf numFmtId="165" fontId="3" fillId="3" borderId="25" xfId="0" applyNumberFormat="1" applyFont="1" applyFill="1" applyBorder="1" applyAlignment="1">
      <alignment horizontal="center" vertical="center"/>
    </xf>
    <xf numFmtId="165" fontId="19" fillId="3" borderId="143" xfId="0" applyNumberFormat="1" applyFont="1" applyFill="1" applyBorder="1" applyAlignment="1">
      <alignment horizontal="right" vertical="center" wrapText="1"/>
    </xf>
    <xf numFmtId="0" fontId="3" fillId="3" borderId="23" xfId="0" applyFont="1" applyFill="1" applyBorder="1" applyAlignment="1">
      <alignment horizontal="center" vertical="center"/>
    </xf>
    <xf numFmtId="164" fontId="3" fillId="3" borderId="24" xfId="0" applyNumberFormat="1" applyFont="1" applyFill="1" applyBorder="1" applyAlignment="1">
      <alignment horizontal="center" vertical="center"/>
    </xf>
    <xf numFmtId="165" fontId="3" fillId="3" borderId="145" xfId="0" applyNumberFormat="1" applyFont="1" applyFill="1" applyBorder="1" applyAlignment="1">
      <alignment horizontal="center" vertical="center" wrapText="1"/>
    </xf>
    <xf numFmtId="0" fontId="3" fillId="3" borderId="152" xfId="0" applyFont="1" applyFill="1" applyBorder="1" applyAlignment="1">
      <alignment horizontal="center" vertical="center" wrapText="1"/>
    </xf>
    <xf numFmtId="0" fontId="3" fillId="3" borderId="24" xfId="0" applyFont="1" applyFill="1" applyBorder="1" applyAlignment="1">
      <alignment horizontal="center" vertical="center" wrapText="1"/>
    </xf>
    <xf numFmtId="164" fontId="3" fillId="3" borderId="24" xfId="0" applyNumberFormat="1" applyFont="1" applyFill="1" applyBorder="1" applyAlignment="1">
      <alignment horizontal="center" vertical="center" wrapText="1"/>
    </xf>
    <xf numFmtId="165" fontId="3" fillId="3" borderId="153" xfId="0" applyNumberFormat="1" applyFont="1" applyFill="1" applyBorder="1" applyAlignment="1">
      <alignment horizontal="center" vertical="center" wrapText="1"/>
    </xf>
    <xf numFmtId="168" fontId="19" fillId="0" borderId="46" xfId="0" applyNumberFormat="1" applyFont="1" applyBorder="1" applyAlignment="1">
      <alignment vertical="center"/>
    </xf>
    <xf numFmtId="168" fontId="19" fillId="0" borderId="3" xfId="0" applyNumberFormat="1" applyFont="1" applyBorder="1" applyAlignment="1">
      <alignment vertical="center"/>
    </xf>
    <xf numFmtId="0" fontId="3" fillId="3" borderId="9" xfId="0" applyFont="1" applyFill="1" applyBorder="1" applyAlignment="1">
      <alignment vertical="center" wrapText="1"/>
    </xf>
    <xf numFmtId="0" fontId="3" fillId="3" borderId="9" xfId="0" applyFont="1" applyFill="1" applyBorder="1" applyAlignment="1">
      <alignment horizontal="center" vertical="center"/>
    </xf>
    <xf numFmtId="165" fontId="19" fillId="4" borderId="29" xfId="0" applyNumberFormat="1" applyFont="1" applyFill="1" applyBorder="1" applyAlignment="1">
      <alignment horizontal="right" vertical="center"/>
    </xf>
    <xf numFmtId="43" fontId="3" fillId="3" borderId="30" xfId="0" applyNumberFormat="1" applyFont="1" applyFill="1" applyBorder="1" applyAlignment="1">
      <alignment horizontal="center" vertical="center"/>
    </xf>
    <xf numFmtId="164" fontId="3" fillId="3" borderId="9" xfId="0" applyNumberFormat="1" applyFont="1" applyFill="1" applyBorder="1" applyAlignment="1">
      <alignment horizontal="center" vertical="center" wrapText="1"/>
    </xf>
    <xf numFmtId="165" fontId="3" fillId="3" borderId="29" xfId="0" applyNumberFormat="1" applyFont="1" applyFill="1" applyBorder="1" applyAlignment="1">
      <alignment horizontal="center" vertical="center"/>
    </xf>
    <xf numFmtId="165" fontId="19" fillId="3" borderId="100" xfId="0" applyNumberFormat="1" applyFont="1" applyFill="1" applyBorder="1" applyAlignment="1">
      <alignment horizontal="right" vertical="center" wrapText="1"/>
    </xf>
    <xf numFmtId="0" fontId="3" fillId="3" borderId="30" xfId="0" applyFont="1" applyFill="1" applyBorder="1" applyAlignment="1">
      <alignment horizontal="center" vertical="center"/>
    </xf>
    <xf numFmtId="164" fontId="3" fillId="3" borderId="9" xfId="0" applyNumberFormat="1" applyFont="1" applyFill="1" applyBorder="1" applyAlignment="1">
      <alignment horizontal="center" vertical="center"/>
    </xf>
    <xf numFmtId="165" fontId="3" fillId="3" borderId="127" xfId="0" applyNumberFormat="1" applyFont="1" applyFill="1" applyBorder="1" applyAlignment="1">
      <alignment horizontal="center" vertical="center" wrapText="1"/>
    </xf>
    <xf numFmtId="0" fontId="3" fillId="3" borderId="84" xfId="0" applyFont="1" applyFill="1" applyBorder="1" applyAlignment="1">
      <alignment horizontal="center" vertical="center" wrapText="1"/>
    </xf>
    <xf numFmtId="0" fontId="3" fillId="3" borderId="9" xfId="0" applyFont="1" applyFill="1" applyBorder="1" applyAlignment="1">
      <alignment horizontal="center" vertical="center" wrapText="1"/>
    </xf>
    <xf numFmtId="164" fontId="3" fillId="3" borderId="9" xfId="0" applyNumberFormat="1" applyFont="1" applyFill="1" applyBorder="1" applyAlignment="1">
      <alignment horizontal="center" vertical="center" wrapText="1"/>
    </xf>
    <xf numFmtId="165" fontId="3" fillId="3" borderId="154" xfId="0" applyNumberFormat="1" applyFont="1" applyFill="1" applyBorder="1" applyAlignment="1">
      <alignment horizontal="center" vertical="center" wrapText="1"/>
    </xf>
    <xf numFmtId="0" fontId="3" fillId="3" borderId="34" xfId="0" applyFont="1" applyFill="1" applyBorder="1" applyAlignment="1">
      <alignment vertical="center" wrapText="1"/>
    </xf>
    <xf numFmtId="0" fontId="3" fillId="3" borderId="101" xfId="0" applyFont="1" applyFill="1" applyBorder="1" applyAlignment="1">
      <alignment vertical="center" wrapText="1"/>
    </xf>
    <xf numFmtId="0" fontId="3" fillId="3" borderId="35" xfId="0" applyFont="1" applyFill="1" applyBorder="1" applyAlignment="1">
      <alignment horizontal="center" vertical="center" wrapText="1"/>
    </xf>
    <xf numFmtId="0" fontId="3" fillId="3" borderId="36" xfId="0" applyFont="1" applyFill="1" applyBorder="1" applyAlignment="1">
      <alignment horizontal="center" vertical="center"/>
    </xf>
    <xf numFmtId="164" fontId="3" fillId="3" borderId="36" xfId="0" applyNumberFormat="1" applyFont="1" applyFill="1" applyBorder="1" applyAlignment="1">
      <alignment horizontal="center" vertical="center"/>
    </xf>
    <xf numFmtId="165" fontId="19" fillId="4" borderId="37" xfId="0" applyNumberFormat="1" applyFont="1" applyFill="1" applyBorder="1" applyAlignment="1">
      <alignment horizontal="right" vertical="center"/>
    </xf>
    <xf numFmtId="43" fontId="3" fillId="3" borderId="35" xfId="0" applyNumberFormat="1" applyFont="1" applyFill="1" applyBorder="1" applyAlignment="1">
      <alignment horizontal="center" vertical="center"/>
    </xf>
    <xf numFmtId="164" fontId="3" fillId="3" borderId="36" xfId="0" applyNumberFormat="1" applyFont="1" applyFill="1" applyBorder="1" applyAlignment="1">
      <alignment horizontal="center" vertical="center" wrapText="1"/>
    </xf>
    <xf numFmtId="165" fontId="3" fillId="3" borderId="37" xfId="0" applyNumberFormat="1" applyFont="1" applyFill="1" applyBorder="1" applyAlignment="1">
      <alignment horizontal="center" vertical="center"/>
    </xf>
    <xf numFmtId="165" fontId="19" fillId="3" borderId="101" xfId="0" applyNumberFormat="1" applyFont="1" applyFill="1" applyBorder="1" applyAlignment="1">
      <alignment horizontal="right" vertical="center" wrapText="1"/>
    </xf>
    <xf numFmtId="0" fontId="3" fillId="3" borderId="35" xfId="0" applyFont="1" applyFill="1" applyBorder="1" applyAlignment="1">
      <alignment horizontal="center" vertical="center"/>
    </xf>
    <xf numFmtId="164" fontId="3" fillId="3" borderId="36" xfId="0" applyNumberFormat="1" applyFont="1" applyFill="1" applyBorder="1" applyAlignment="1">
      <alignment horizontal="center" vertical="center"/>
    </xf>
    <xf numFmtId="165" fontId="3" fillId="3" borderId="156" xfId="0" applyNumberFormat="1" applyFont="1" applyFill="1" applyBorder="1" applyAlignment="1">
      <alignment horizontal="center" vertical="center" wrapText="1"/>
    </xf>
    <xf numFmtId="0" fontId="3" fillId="3" borderId="86" xfId="0" applyFont="1" applyFill="1" applyBorder="1" applyAlignment="1">
      <alignment horizontal="center" vertical="center" wrapText="1"/>
    </xf>
    <xf numFmtId="0" fontId="3" fillId="3" borderId="36" xfId="0" applyFont="1" applyFill="1" applyBorder="1" applyAlignment="1">
      <alignment horizontal="center" vertical="center" wrapText="1"/>
    </xf>
    <xf numFmtId="164" fontId="3" fillId="3" borderId="36" xfId="0" applyNumberFormat="1" applyFont="1" applyFill="1" applyBorder="1" applyAlignment="1">
      <alignment horizontal="center" vertical="center" wrapText="1"/>
    </xf>
    <xf numFmtId="165" fontId="3" fillId="3" borderId="157" xfId="0" applyNumberFormat="1" applyFont="1" applyFill="1" applyBorder="1" applyAlignment="1">
      <alignment horizontal="center" vertical="center" wrapText="1"/>
    </xf>
    <xf numFmtId="0" fontId="3" fillId="3" borderId="28" xfId="0" applyFont="1" applyFill="1" applyBorder="1" applyAlignment="1">
      <alignment vertical="center" wrapText="1"/>
    </xf>
    <xf numFmtId="0" fontId="3" fillId="3" borderId="69" xfId="0" applyFont="1" applyFill="1" applyBorder="1" applyAlignment="1">
      <alignment vertical="center" wrapText="1"/>
    </xf>
    <xf numFmtId="0" fontId="3" fillId="3" borderId="8" xfId="0" applyFont="1" applyFill="1" applyBorder="1" applyAlignment="1">
      <alignment horizontal="center" vertical="center" wrapText="1"/>
    </xf>
    <xf numFmtId="0" fontId="3" fillId="3" borderId="40" xfId="0" applyFont="1" applyFill="1" applyBorder="1" applyAlignment="1">
      <alignment horizontal="center" vertical="center"/>
    </xf>
    <xf numFmtId="164" fontId="3" fillId="3" borderId="40" xfId="0" applyNumberFormat="1" applyFont="1" applyFill="1" applyBorder="1" applyAlignment="1">
      <alignment horizontal="center" vertical="center"/>
    </xf>
    <xf numFmtId="0" fontId="3" fillId="3" borderId="158" xfId="0" applyFont="1" applyFill="1" applyBorder="1" applyAlignment="1">
      <alignment vertical="center" wrapText="1"/>
    </xf>
    <xf numFmtId="0" fontId="3" fillId="3" borderId="159" xfId="0" applyFont="1" applyFill="1" applyBorder="1" applyAlignment="1">
      <alignment horizontal="center" vertical="center" wrapText="1"/>
    </xf>
    <xf numFmtId="0" fontId="3" fillId="3" borderId="160" xfId="0" applyFont="1" applyFill="1" applyBorder="1" applyAlignment="1">
      <alignment horizontal="center" vertical="center"/>
    </xf>
    <xf numFmtId="164" fontId="3" fillId="3" borderId="160" xfId="0" applyNumberFormat="1" applyFont="1" applyFill="1" applyBorder="1" applyAlignment="1">
      <alignment horizontal="center" vertical="center"/>
    </xf>
    <xf numFmtId="165" fontId="19" fillId="4" borderId="161" xfId="0" applyNumberFormat="1" applyFont="1" applyFill="1" applyBorder="1" applyAlignment="1">
      <alignment horizontal="right" vertical="center"/>
    </xf>
    <xf numFmtId="43" fontId="3" fillId="3" borderId="159" xfId="0" applyNumberFormat="1" applyFont="1" applyFill="1" applyBorder="1" applyAlignment="1">
      <alignment horizontal="center" vertical="center"/>
    </xf>
    <xf numFmtId="164" fontId="3" fillId="3" borderId="160" xfId="0" applyNumberFormat="1" applyFont="1" applyFill="1" applyBorder="1" applyAlignment="1">
      <alignment horizontal="center" vertical="center" wrapText="1"/>
    </xf>
    <xf numFmtId="165" fontId="3" fillId="3" borderId="161" xfId="0" applyNumberFormat="1" applyFont="1" applyFill="1" applyBorder="1" applyAlignment="1">
      <alignment horizontal="center" vertical="center"/>
    </xf>
    <xf numFmtId="0" fontId="3" fillId="3" borderId="159" xfId="0" applyFont="1" applyFill="1" applyBorder="1" applyAlignment="1">
      <alignment horizontal="center" vertical="center"/>
    </xf>
    <xf numFmtId="164" fontId="3" fillId="3" borderId="160" xfId="0" applyNumberFormat="1" applyFont="1" applyFill="1" applyBorder="1" applyAlignment="1">
      <alignment horizontal="center" vertical="center"/>
    </xf>
    <xf numFmtId="165" fontId="3" fillId="3" borderId="162" xfId="0" applyNumberFormat="1" applyFont="1" applyFill="1" applyBorder="1" applyAlignment="1">
      <alignment horizontal="center" vertical="center" wrapText="1"/>
    </xf>
    <xf numFmtId="0" fontId="3" fillId="3" borderId="163" xfId="0" applyFont="1" applyFill="1" applyBorder="1" applyAlignment="1">
      <alignment horizontal="center" vertical="center" wrapText="1"/>
    </xf>
    <xf numFmtId="0" fontId="3" fillId="3" borderId="160" xfId="0" applyFont="1" applyFill="1" applyBorder="1" applyAlignment="1">
      <alignment horizontal="center" vertical="center" wrapText="1"/>
    </xf>
    <xf numFmtId="164" fontId="3" fillId="3" borderId="160" xfId="0" applyNumberFormat="1" applyFont="1" applyFill="1" applyBorder="1" applyAlignment="1">
      <alignment horizontal="center" vertical="center" wrapText="1"/>
    </xf>
    <xf numFmtId="165" fontId="3" fillId="3" borderId="164" xfId="0" applyNumberFormat="1" applyFont="1" applyFill="1" applyBorder="1" applyAlignment="1">
      <alignment horizontal="center" vertical="center" wrapText="1"/>
    </xf>
    <xf numFmtId="165" fontId="3" fillId="7" borderId="0" xfId="0" applyNumberFormat="1" applyFont="1" applyFill="1" applyAlignment="1">
      <alignment vertical="center"/>
    </xf>
    <xf numFmtId="165" fontId="3" fillId="7" borderId="17" xfId="0" applyNumberFormat="1" applyFont="1" applyFill="1" applyBorder="1" applyAlignment="1">
      <alignment vertical="center" wrapText="1"/>
    </xf>
    <xf numFmtId="167" fontId="3" fillId="7" borderId="17" xfId="0" applyNumberFormat="1" applyFont="1" applyFill="1" applyBorder="1" applyAlignment="1">
      <alignment horizontal="center" vertical="center" wrapText="1"/>
    </xf>
    <xf numFmtId="165" fontId="5" fillId="7" borderId="17" xfId="0" applyNumberFormat="1" applyFont="1" applyFill="1" applyBorder="1" applyAlignment="1">
      <alignment vertical="center" wrapText="1"/>
    </xf>
    <xf numFmtId="165" fontId="3" fillId="7" borderId="17" xfId="0" applyNumberFormat="1" applyFont="1" applyFill="1" applyBorder="1" applyAlignment="1">
      <alignment horizontal="left" vertical="center"/>
    </xf>
    <xf numFmtId="165" fontId="3" fillId="7" borderId="17" xfId="0" applyNumberFormat="1" applyFont="1" applyFill="1" applyBorder="1" applyAlignment="1">
      <alignment vertical="center"/>
    </xf>
    <xf numFmtId="165" fontId="19" fillId="7" borderId="17" xfId="0" applyNumberFormat="1" applyFont="1" applyFill="1" applyBorder="1" applyAlignment="1">
      <alignment horizontal="right" vertical="center" wrapText="1"/>
    </xf>
    <xf numFmtId="165" fontId="5" fillId="7" borderId="18" xfId="0" applyNumberFormat="1" applyFont="1" applyFill="1" applyBorder="1" applyAlignment="1">
      <alignment vertical="center"/>
    </xf>
    <xf numFmtId="165" fontId="3" fillId="7" borderId="17" xfId="0" applyNumberFormat="1" applyFont="1" applyFill="1" applyBorder="1" applyAlignment="1">
      <alignment horizontal="right" vertical="center" wrapText="1"/>
    </xf>
    <xf numFmtId="165" fontId="19" fillId="7" borderId="16" xfId="0" applyNumberFormat="1" applyFont="1" applyFill="1" applyBorder="1" applyAlignment="1">
      <alignment horizontal="right" vertical="center" wrapText="1"/>
    </xf>
    <xf numFmtId="165" fontId="3" fillId="7" borderId="17" xfId="0" applyNumberFormat="1" applyFont="1" applyFill="1" applyBorder="1" applyAlignment="1">
      <alignment vertical="center"/>
    </xf>
    <xf numFmtId="165" fontId="3" fillId="7" borderId="18" xfId="0" applyNumberFormat="1" applyFont="1" applyFill="1" applyBorder="1" applyAlignment="1">
      <alignment horizontal="right" vertical="center" wrapText="1"/>
    </xf>
    <xf numFmtId="165" fontId="3" fillId="7" borderId="17" xfId="0" applyNumberFormat="1" applyFont="1" applyFill="1" applyBorder="1" applyAlignment="1">
      <alignment horizontal="right" vertical="center"/>
    </xf>
    <xf numFmtId="164" fontId="3" fillId="7" borderId="17" xfId="0" applyNumberFormat="1" applyFont="1" applyFill="1" applyBorder="1" applyAlignment="1">
      <alignment horizontal="right" vertical="center"/>
    </xf>
    <xf numFmtId="165" fontId="3" fillId="7" borderId="150" xfId="0" applyNumberFormat="1" applyFont="1" applyFill="1" applyBorder="1" applyAlignment="1">
      <alignment horizontal="right" vertical="center" wrapText="1"/>
    </xf>
    <xf numFmtId="165" fontId="3" fillId="7" borderId="0" xfId="0" applyNumberFormat="1" applyFont="1" applyFill="1" applyAlignment="1">
      <alignment vertical="center"/>
    </xf>
    <xf numFmtId="165" fontId="19" fillId="7" borderId="88" xfId="0" applyNumberFormat="1" applyFont="1" applyFill="1" applyBorder="1" applyAlignment="1">
      <alignment vertical="center"/>
    </xf>
    <xf numFmtId="165" fontId="19" fillId="7" borderId="165" xfId="0" applyNumberFormat="1" applyFont="1" applyFill="1" applyBorder="1" applyAlignment="1">
      <alignment vertical="center"/>
    </xf>
    <xf numFmtId="165" fontId="3" fillId="7" borderId="88" xfId="0" applyNumberFormat="1" applyFont="1" applyFill="1" applyBorder="1" applyAlignment="1">
      <alignment vertical="center"/>
    </xf>
    <xf numFmtId="0" fontId="3" fillId="7" borderId="0" xfId="0" applyFont="1" applyFill="1" applyAlignment="1">
      <alignment vertical="center" wrapText="1"/>
    </xf>
    <xf numFmtId="165" fontId="3" fillId="7" borderId="0" xfId="0" applyNumberFormat="1" applyFont="1" applyFill="1" applyAlignment="1">
      <alignment vertical="center" wrapText="1"/>
    </xf>
    <xf numFmtId="164" fontId="3" fillId="3" borderId="141" xfId="0" applyNumberFormat="1" applyFont="1" applyFill="1" applyBorder="1" applyAlignment="1">
      <alignment horizontal="right" vertical="center"/>
    </xf>
    <xf numFmtId="0" fontId="3" fillId="0" borderId="0" xfId="0" applyFont="1" applyAlignment="1">
      <alignment vertical="center" wrapText="1"/>
    </xf>
    <xf numFmtId="170" fontId="3" fillId="0" borderId="0" xfId="0" applyNumberFormat="1" applyFont="1" applyAlignment="1">
      <alignment vertical="center" wrapText="1"/>
    </xf>
    <xf numFmtId="170" fontId="3" fillId="4" borderId="166" xfId="0" applyNumberFormat="1" applyFont="1" applyFill="1" applyBorder="1" applyAlignment="1">
      <alignment vertical="center" wrapText="1"/>
    </xf>
    <xf numFmtId="10" fontId="3" fillId="4" borderId="166" xfId="0" applyNumberFormat="1" applyFont="1" applyFill="1" applyBorder="1" applyAlignment="1">
      <alignment vertical="center" wrapText="1"/>
    </xf>
    <xf numFmtId="0" fontId="1" fillId="0" borderId="0" xfId="0" applyFont="1" applyAlignment="1">
      <alignment wrapText="1"/>
    </xf>
    <xf numFmtId="0" fontId="4" fillId="0" borderId="0" xfId="0" applyFont="1" applyAlignment="1">
      <alignment horizontal="left" vertical="center" wrapText="1"/>
    </xf>
    <xf numFmtId="3" fontId="4" fillId="0" borderId="0" xfId="0" applyNumberFormat="1" applyFont="1" applyAlignment="1">
      <alignment horizontal="center" vertical="center"/>
    </xf>
    <xf numFmtId="165" fontId="4" fillId="0" borderId="0" xfId="0" applyNumberFormat="1" applyFont="1" applyAlignment="1">
      <alignment horizontal="center" vertical="center"/>
    </xf>
    <xf numFmtId="165" fontId="4" fillId="0" borderId="0" xfId="0" applyNumberFormat="1" applyFont="1" applyAlignment="1">
      <alignment horizontal="right" vertical="center"/>
    </xf>
    <xf numFmtId="164" fontId="4" fillId="0" borderId="0" xfId="0" applyNumberFormat="1" applyFont="1" applyAlignment="1">
      <alignment horizontal="center" vertical="center"/>
    </xf>
    <xf numFmtId="0" fontId="1" fillId="0" borderId="0" xfId="0" applyFont="1" applyAlignment="1"/>
    <xf numFmtId="0" fontId="1" fillId="8" borderId="0" xfId="0" applyFont="1" applyFill="1"/>
    <xf numFmtId="0" fontId="1" fillId="2" borderId="9" xfId="0" applyFont="1" applyFill="1" applyBorder="1"/>
    <xf numFmtId="0" fontId="1" fillId="3" borderId="0" xfId="0" applyFont="1" applyFill="1"/>
    <xf numFmtId="0" fontId="1" fillId="3" borderId="9" xfId="0" applyFont="1" applyFill="1" applyBorder="1"/>
    <xf numFmtId="0" fontId="1" fillId="4" borderId="9" xfId="0" applyFont="1" applyFill="1" applyBorder="1"/>
    <xf numFmtId="0" fontId="1" fillId="5" borderId="9" xfId="0" applyFont="1" applyFill="1" applyBorder="1"/>
    <xf numFmtId="0" fontId="1" fillId="6" borderId="9" xfId="0" applyFont="1" applyFill="1" applyBorder="1"/>
    <xf numFmtId="0" fontId="8" fillId="0" borderId="0" xfId="0" applyFont="1" applyAlignment="1">
      <alignment horizontal="left" vertical="center"/>
    </xf>
    <xf numFmtId="0" fontId="21" fillId="0" borderId="0" xfId="0" applyFont="1" applyAlignment="1">
      <alignment horizontal="center" vertical="center"/>
    </xf>
    <xf numFmtId="1" fontId="22" fillId="0" borderId="0" xfId="0" applyNumberFormat="1" applyFont="1" applyAlignment="1">
      <alignment horizontal="center" vertical="center"/>
    </xf>
    <xf numFmtId="0" fontId="16" fillId="8" borderId="0" xfId="0" applyFont="1" applyFill="1" applyAlignment="1">
      <alignment vertical="center" wrapText="1"/>
    </xf>
    <xf numFmtId="0" fontId="16" fillId="8" borderId="0" xfId="0" applyFont="1" applyFill="1" applyAlignment="1">
      <alignment horizontal="center" vertical="center" wrapText="1"/>
    </xf>
    <xf numFmtId="0" fontId="16" fillId="8" borderId="0" xfId="0" applyFont="1" applyFill="1" applyAlignment="1">
      <alignment horizontal="center" vertical="center"/>
    </xf>
    <xf numFmtId="3" fontId="16" fillId="8" borderId="0" xfId="0" applyNumberFormat="1" applyFont="1" applyFill="1" applyAlignment="1">
      <alignment horizontal="center" vertical="center"/>
    </xf>
    <xf numFmtId="0" fontId="16" fillId="8" borderId="0" xfId="0" applyFont="1" applyFill="1" applyAlignment="1">
      <alignment horizontal="left" vertical="center" wrapText="1"/>
    </xf>
    <xf numFmtId="164" fontId="16" fillId="8" borderId="0" xfId="0" applyNumberFormat="1" applyFont="1" applyFill="1" applyAlignment="1">
      <alignment horizontal="right" vertical="center"/>
    </xf>
    <xf numFmtId="165" fontId="16" fillId="8" borderId="0" xfId="0" applyNumberFormat="1" applyFont="1" applyFill="1" applyAlignment="1">
      <alignment horizontal="right" vertical="center" wrapText="1"/>
    </xf>
    <xf numFmtId="0" fontId="16" fillId="8" borderId="0" xfId="0" applyFont="1" applyFill="1" applyAlignment="1">
      <alignment vertical="center" wrapText="1"/>
    </xf>
    <xf numFmtId="164" fontId="16" fillId="8" borderId="0" xfId="0" applyNumberFormat="1" applyFont="1" applyFill="1" applyAlignment="1">
      <alignment horizontal="right" vertical="center" wrapText="1"/>
    </xf>
    <xf numFmtId="164" fontId="16" fillId="8" borderId="0" xfId="0" applyNumberFormat="1" applyFont="1" applyFill="1" applyAlignment="1">
      <alignment horizontal="right" vertical="center" wrapText="1"/>
    </xf>
    <xf numFmtId="0" fontId="16" fillId="8" borderId="0" xfId="0" applyFont="1" applyFill="1" applyAlignment="1">
      <alignment vertical="center"/>
    </xf>
    <xf numFmtId="0" fontId="3" fillId="0" borderId="71" xfId="0" applyFont="1" applyBorder="1"/>
    <xf numFmtId="0" fontId="3" fillId="0" borderId="168" xfId="0" applyFont="1" applyBorder="1" applyAlignment="1">
      <alignment vertical="center" wrapText="1"/>
    </xf>
    <xf numFmtId="0" fontId="5" fillId="10" borderId="94" xfId="0" applyFont="1" applyFill="1" applyBorder="1" applyAlignment="1">
      <alignment vertical="center" wrapText="1"/>
    </xf>
    <xf numFmtId="166" fontId="5" fillId="10" borderId="94" xfId="0" applyNumberFormat="1" applyFont="1" applyFill="1" applyBorder="1" applyAlignment="1">
      <alignment horizontal="center" vertical="center"/>
    </xf>
    <xf numFmtId="3" fontId="5" fillId="10" borderId="94" xfId="0" applyNumberFormat="1" applyFont="1" applyFill="1" applyBorder="1" applyAlignment="1">
      <alignment horizontal="center" vertical="center"/>
    </xf>
    <xf numFmtId="0" fontId="5" fillId="10" borderId="94" xfId="0" applyFont="1" applyFill="1" applyBorder="1" applyAlignment="1">
      <alignment horizontal="left" vertical="center" wrapText="1"/>
    </xf>
    <xf numFmtId="164" fontId="5" fillId="10" borderId="94" xfId="0" applyNumberFormat="1" applyFont="1" applyFill="1" applyBorder="1" applyAlignment="1">
      <alignment horizontal="right" vertical="center"/>
    </xf>
    <xf numFmtId="165" fontId="5" fillId="10" borderId="94" xfId="0" applyNumberFormat="1" applyFont="1" applyFill="1" applyBorder="1" applyAlignment="1">
      <alignment horizontal="right" vertical="center" wrapText="1"/>
    </xf>
    <xf numFmtId="0" fontId="5" fillId="10" borderId="94" xfId="0" applyFont="1" applyFill="1" applyBorder="1" applyAlignment="1">
      <alignment vertical="center"/>
    </xf>
    <xf numFmtId="165" fontId="5" fillId="10" borderId="94" xfId="0" applyNumberFormat="1" applyFont="1" applyFill="1" applyBorder="1" applyAlignment="1">
      <alignment horizontal="right" vertical="center"/>
    </xf>
    <xf numFmtId="0" fontId="5" fillId="10" borderId="94" xfId="0" applyFont="1" applyFill="1" applyBorder="1" applyAlignment="1">
      <alignment vertical="center"/>
    </xf>
    <xf numFmtId="164" fontId="5" fillId="10" borderId="94" xfId="0" applyNumberFormat="1" applyFont="1" applyFill="1" applyBorder="1" applyAlignment="1">
      <alignment vertical="center"/>
    </xf>
    <xf numFmtId="165" fontId="5" fillId="10" borderId="117" xfId="0" applyNumberFormat="1" applyFont="1" applyFill="1" applyBorder="1" applyAlignment="1">
      <alignment horizontal="right" vertical="center"/>
    </xf>
    <xf numFmtId="0" fontId="18" fillId="13" borderId="0" xfId="0" applyFont="1" applyFill="1" applyAlignment="1">
      <alignment vertical="center" wrapText="1"/>
    </xf>
    <xf numFmtId="166" fontId="16" fillId="13" borderId="0" xfId="0" applyNumberFormat="1" applyFont="1" applyFill="1" applyAlignment="1">
      <alignment horizontal="center" vertical="center"/>
    </xf>
    <xf numFmtId="3" fontId="16" fillId="13" borderId="0" xfId="0" applyNumberFormat="1" applyFont="1" applyFill="1" applyAlignment="1">
      <alignment horizontal="center" vertical="center"/>
    </xf>
    <xf numFmtId="0" fontId="16" fillId="13" borderId="0" xfId="0" applyFont="1" applyFill="1" applyAlignment="1">
      <alignment vertical="center" wrapText="1"/>
    </xf>
    <xf numFmtId="0" fontId="18" fillId="13" borderId="0" xfId="0" applyFont="1" applyFill="1" applyAlignment="1">
      <alignment horizontal="left" vertical="center" wrapText="1"/>
    </xf>
    <xf numFmtId="164" fontId="18" fillId="13" borderId="0" xfId="0" applyNumberFormat="1" applyFont="1" applyFill="1" applyAlignment="1">
      <alignment horizontal="right" vertical="center"/>
    </xf>
    <xf numFmtId="165" fontId="16" fillId="13" borderId="0" xfId="0" applyNumberFormat="1" applyFont="1" applyFill="1" applyAlignment="1">
      <alignment horizontal="right" vertical="center" wrapText="1"/>
    </xf>
    <xf numFmtId="0" fontId="16" fillId="13" borderId="0" xfId="0" applyFont="1" applyFill="1" applyAlignment="1">
      <alignment vertical="center"/>
    </xf>
    <xf numFmtId="0" fontId="18" fillId="13" borderId="0" xfId="0" applyFont="1" applyFill="1" applyAlignment="1">
      <alignment vertical="center"/>
    </xf>
    <xf numFmtId="164" fontId="18" fillId="13" borderId="0" xfId="0" applyNumberFormat="1" applyFont="1" applyFill="1" applyAlignment="1">
      <alignment vertical="center"/>
    </xf>
    <xf numFmtId="165" fontId="16" fillId="13" borderId="118" xfId="0" applyNumberFormat="1" applyFont="1" applyFill="1" applyBorder="1" applyAlignment="1">
      <alignment horizontal="right" vertical="center" wrapText="1"/>
    </xf>
    <xf numFmtId="165" fontId="16" fillId="13" borderId="9" xfId="0" applyNumberFormat="1" applyFont="1" applyFill="1" applyBorder="1" applyAlignment="1">
      <alignment vertical="center"/>
    </xf>
    <xf numFmtId="0" fontId="15" fillId="13" borderId="9" xfId="0" applyFont="1" applyFill="1" applyBorder="1" applyAlignment="1">
      <alignment vertical="center" wrapText="1"/>
    </xf>
    <xf numFmtId="0" fontId="3" fillId="0" borderId="169" xfId="0" applyFont="1" applyBorder="1" applyAlignment="1">
      <alignment vertical="center" wrapText="1"/>
    </xf>
    <xf numFmtId="165" fontId="3" fillId="0" borderId="170" xfId="0" applyNumberFormat="1" applyFont="1" applyBorder="1" applyAlignment="1">
      <alignment horizontal="right" wrapText="1"/>
    </xf>
    <xf numFmtId="0" fontId="3" fillId="0" borderId="171" xfId="0" applyFont="1" applyBorder="1" applyAlignment="1">
      <alignment vertical="center" wrapText="1"/>
    </xf>
    <xf numFmtId="0" fontId="3" fillId="0" borderId="123" xfId="0" applyFont="1" applyBorder="1" applyAlignment="1">
      <alignment vertical="center"/>
    </xf>
    <xf numFmtId="164" fontId="3" fillId="4" borderId="124" xfId="0" applyNumberFormat="1" applyFont="1" applyFill="1" applyBorder="1" applyAlignment="1">
      <alignment horizontal="right" vertical="center"/>
    </xf>
    <xf numFmtId="165" fontId="3" fillId="4" borderId="122" xfId="0" applyNumberFormat="1" applyFont="1" applyFill="1" applyBorder="1" applyAlignment="1">
      <alignment horizontal="right" vertical="center" wrapText="1"/>
    </xf>
    <xf numFmtId="165" fontId="3" fillId="0" borderId="70" xfId="0" applyNumberFormat="1" applyFont="1" applyBorder="1" applyAlignment="1">
      <alignment horizontal="right" wrapText="1"/>
    </xf>
    <xf numFmtId="0" fontId="3" fillId="0" borderId="172" xfId="0" applyFont="1" applyBorder="1" applyAlignment="1">
      <alignment vertical="center" wrapText="1"/>
    </xf>
    <xf numFmtId="164" fontId="3" fillId="4" borderId="9" xfId="0" applyNumberFormat="1" applyFont="1" applyFill="1" applyBorder="1" applyAlignment="1">
      <alignment horizontal="right" vertical="center" wrapText="1"/>
    </xf>
    <xf numFmtId="0" fontId="3" fillId="0" borderId="173" xfId="0" applyFont="1" applyBorder="1" applyAlignment="1">
      <alignment vertical="center" wrapText="1"/>
    </xf>
    <xf numFmtId="164" fontId="3" fillId="4" borderId="8" xfId="0" applyNumberFormat="1" applyFont="1" applyFill="1" applyBorder="1" applyAlignment="1">
      <alignment horizontal="right" vertical="center" wrapText="1"/>
    </xf>
    <xf numFmtId="167" fontId="3" fillId="4" borderId="7" xfId="0" applyNumberFormat="1" applyFont="1" applyFill="1" applyBorder="1" applyAlignment="1">
      <alignment horizontal="center" vertical="center" wrapText="1"/>
    </xf>
    <xf numFmtId="0" fontId="3" fillId="0" borderId="174" xfId="0" applyFont="1" applyBorder="1" applyAlignment="1">
      <alignment vertical="center" wrapText="1"/>
    </xf>
    <xf numFmtId="165" fontId="3" fillId="0" borderId="77" xfId="0" applyNumberFormat="1" applyFont="1" applyBorder="1" applyAlignment="1">
      <alignment horizontal="right" wrapText="1"/>
    </xf>
    <xf numFmtId="165" fontId="3" fillId="4" borderId="8" xfId="0" applyNumberFormat="1" applyFont="1" applyFill="1" applyBorder="1" applyAlignment="1">
      <alignment vertical="center"/>
    </xf>
    <xf numFmtId="167" fontId="3" fillId="2" borderId="63" xfId="0" applyNumberFormat="1" applyFont="1" applyFill="1" applyBorder="1" applyAlignment="1">
      <alignment horizontal="center" vertical="center"/>
    </xf>
    <xf numFmtId="165" fontId="3" fillId="4" borderId="66" xfId="0" applyNumberFormat="1" applyFont="1" applyFill="1" applyBorder="1" applyAlignment="1">
      <alignment vertical="center"/>
    </xf>
    <xf numFmtId="165" fontId="3" fillId="4" borderId="63" xfId="0" applyNumberFormat="1" applyFont="1" applyFill="1" applyBorder="1" applyAlignment="1">
      <alignment vertical="center"/>
    </xf>
    <xf numFmtId="165" fontId="3" fillId="0" borderId="65" xfId="0" applyNumberFormat="1" applyFont="1" applyBorder="1" applyAlignment="1">
      <alignment horizontal="right" vertical="center"/>
    </xf>
    <xf numFmtId="165" fontId="3" fillId="4" borderId="40" xfId="0" applyNumberFormat="1" applyFont="1" applyFill="1" applyBorder="1" applyAlignment="1">
      <alignment vertical="center"/>
    </xf>
    <xf numFmtId="0" fontId="3" fillId="9" borderId="54" xfId="0" applyFont="1" applyFill="1" applyBorder="1" applyAlignment="1">
      <alignment vertical="center" wrapText="1"/>
    </xf>
    <xf numFmtId="0" fontId="3" fillId="9" borderId="5" xfId="0" applyFont="1" applyFill="1" applyBorder="1" applyAlignment="1">
      <alignment vertical="center" wrapText="1"/>
    </xf>
    <xf numFmtId="167" fontId="3" fillId="4" borderId="55" xfId="0" applyNumberFormat="1" applyFont="1" applyFill="1" applyBorder="1" applyAlignment="1">
      <alignment horizontal="center" vertical="center" wrapText="1"/>
    </xf>
    <xf numFmtId="0" fontId="3" fillId="9" borderId="0" xfId="0" applyFont="1" applyFill="1" applyAlignment="1">
      <alignment vertical="center" wrapText="1"/>
    </xf>
    <xf numFmtId="165" fontId="3" fillId="9" borderId="71" xfId="0" applyNumberFormat="1" applyFont="1" applyFill="1" applyBorder="1" applyAlignment="1">
      <alignment horizontal="right" vertical="center"/>
    </xf>
    <xf numFmtId="165" fontId="3" fillId="4" borderId="5" xfId="0" applyNumberFormat="1" applyFont="1" applyFill="1" applyBorder="1" applyAlignment="1">
      <alignment vertical="center"/>
    </xf>
    <xf numFmtId="0" fontId="3" fillId="4" borderId="4" xfId="0" applyFont="1" applyFill="1" applyBorder="1" applyAlignment="1">
      <alignment vertical="center"/>
    </xf>
    <xf numFmtId="164" fontId="3" fillId="4" borderId="55" xfId="0" applyNumberFormat="1" applyFont="1" applyFill="1" applyBorder="1" applyAlignment="1">
      <alignment vertical="center"/>
    </xf>
    <xf numFmtId="0" fontId="3" fillId="0" borderId="175" xfId="0" applyFont="1" applyBorder="1" applyAlignment="1">
      <alignment vertical="center" wrapText="1"/>
    </xf>
    <xf numFmtId="0" fontId="3" fillId="0" borderId="176" xfId="0" applyFont="1" applyBorder="1" applyAlignment="1">
      <alignment vertical="center" wrapText="1"/>
    </xf>
    <xf numFmtId="0" fontId="3" fillId="0" borderId="106" xfId="0" applyFont="1" applyBorder="1" applyAlignment="1">
      <alignment vertical="center" wrapText="1"/>
    </xf>
    <xf numFmtId="167" fontId="3" fillId="4" borderId="176" xfId="0" applyNumberFormat="1" applyFont="1" applyFill="1" applyBorder="1" applyAlignment="1">
      <alignment horizontal="center" vertical="center"/>
    </xf>
    <xf numFmtId="167" fontId="3" fillId="2" borderId="107" xfId="0" applyNumberFormat="1" applyFont="1" applyFill="1" applyBorder="1" applyAlignment="1">
      <alignment horizontal="center" vertical="center"/>
    </xf>
    <xf numFmtId="3" fontId="3" fillId="2" borderId="105" xfId="0" applyNumberFormat="1" applyFont="1" applyFill="1" applyBorder="1" applyAlignment="1">
      <alignment horizontal="center" vertical="center" wrapText="1"/>
    </xf>
    <xf numFmtId="0" fontId="3" fillId="0" borderId="176" xfId="0" applyFont="1" applyBorder="1" applyAlignment="1">
      <alignment vertical="center" wrapText="1"/>
    </xf>
    <xf numFmtId="0" fontId="3" fillId="0" borderId="107" xfId="0" applyFont="1" applyBorder="1" applyAlignment="1">
      <alignment horizontal="left" vertical="center"/>
    </xf>
    <xf numFmtId="164" fontId="3" fillId="4" borderId="106" xfId="0" applyNumberFormat="1" applyFont="1" applyFill="1" applyBorder="1" applyAlignment="1">
      <alignment vertical="center"/>
    </xf>
    <xf numFmtId="165" fontId="3" fillId="0" borderId="105" xfId="0" applyNumberFormat="1" applyFont="1" applyBorder="1" applyAlignment="1">
      <alignment vertical="center"/>
    </xf>
    <xf numFmtId="43" fontId="3" fillId="0" borderId="176" xfId="0" applyNumberFormat="1" applyFont="1" applyBorder="1" applyAlignment="1">
      <alignment vertical="center"/>
    </xf>
    <xf numFmtId="164" fontId="3" fillId="4" borderId="107" xfId="0" applyNumberFormat="1" applyFont="1" applyFill="1" applyBorder="1" applyAlignment="1">
      <alignment horizontal="right" vertical="center" wrapText="1"/>
    </xf>
    <xf numFmtId="165" fontId="3" fillId="0" borderId="105" xfId="0" applyNumberFormat="1" applyFont="1" applyBorder="1" applyAlignment="1">
      <alignment horizontal="right" vertical="center"/>
    </xf>
    <xf numFmtId="0" fontId="3" fillId="0" borderId="176" xfId="0" applyFont="1" applyBorder="1" applyAlignment="1">
      <alignment horizontal="center" vertical="center"/>
    </xf>
    <xf numFmtId="0" fontId="3" fillId="0" borderId="107" xfId="0" applyFont="1" applyBorder="1" applyAlignment="1">
      <alignment horizontal="center" vertical="center"/>
    </xf>
    <xf numFmtId="0" fontId="3" fillId="4" borderId="107" xfId="0" applyFont="1" applyFill="1" applyBorder="1" applyAlignment="1">
      <alignment horizontal="center" vertical="center"/>
    </xf>
    <xf numFmtId="165" fontId="3" fillId="4" borderId="106" xfId="0" applyNumberFormat="1" applyFont="1" applyFill="1" applyBorder="1" applyAlignment="1">
      <alignment horizontal="center" vertical="center"/>
    </xf>
    <xf numFmtId="0" fontId="3" fillId="4" borderId="177" xfId="0" applyFont="1" applyFill="1" applyBorder="1" applyAlignment="1">
      <alignment vertical="center"/>
    </xf>
    <xf numFmtId="164" fontId="3" fillId="4" borderId="107" xfId="0" applyNumberFormat="1" applyFont="1" applyFill="1" applyBorder="1" applyAlignment="1">
      <alignment vertical="center"/>
    </xf>
    <xf numFmtId="165" fontId="3" fillId="0" borderId="178" xfId="0" applyNumberFormat="1" applyFont="1" applyBorder="1" applyAlignment="1">
      <alignment horizontal="right" vertical="center" wrapText="1"/>
    </xf>
    <xf numFmtId="165" fontId="3" fillId="4" borderId="74" xfId="0" applyNumberFormat="1" applyFont="1" applyFill="1" applyBorder="1" applyAlignment="1">
      <alignment horizontal="center" vertical="center"/>
    </xf>
    <xf numFmtId="43" fontId="3" fillId="0" borderId="8" xfId="0" applyNumberFormat="1" applyFont="1" applyBorder="1" applyAlignment="1">
      <alignment horizontal="left" vertical="center" wrapText="1"/>
    </xf>
    <xf numFmtId="43" fontId="3" fillId="0" borderId="30" xfId="0" applyNumberFormat="1" applyFont="1" applyBorder="1" applyAlignment="1">
      <alignment horizontal="left" vertical="center" wrapText="1"/>
    </xf>
    <xf numFmtId="43" fontId="3" fillId="0" borderId="76" xfId="0" applyNumberFormat="1" applyFont="1" applyBorder="1" applyAlignment="1">
      <alignment horizontal="center" vertical="center"/>
    </xf>
    <xf numFmtId="0" fontId="3" fillId="0" borderId="180" xfId="0" applyFont="1" applyBorder="1" applyAlignment="1">
      <alignment vertical="center" wrapText="1"/>
    </xf>
    <xf numFmtId="0" fontId="3" fillId="0" borderId="181" xfId="0" applyFont="1" applyBorder="1" applyAlignment="1">
      <alignment vertical="center" wrapText="1"/>
    </xf>
    <xf numFmtId="0" fontId="3" fillId="0" borderId="87" xfId="0" applyFont="1" applyBorder="1" applyAlignment="1">
      <alignment horizontal="center" vertical="center" wrapText="1"/>
    </xf>
    <xf numFmtId="167" fontId="3" fillId="2" borderId="182" xfId="0" applyNumberFormat="1" applyFont="1" applyFill="1" applyBorder="1" applyAlignment="1">
      <alignment horizontal="center" vertical="center"/>
    </xf>
    <xf numFmtId="167" fontId="3" fillId="2" borderId="87" xfId="0" applyNumberFormat="1" applyFont="1" applyFill="1" applyBorder="1" applyAlignment="1">
      <alignment horizontal="center" vertical="center"/>
    </xf>
    <xf numFmtId="3" fontId="3" fillId="4" borderId="183" xfId="0" applyNumberFormat="1" applyFont="1" applyFill="1" applyBorder="1" applyAlignment="1">
      <alignment horizontal="center" vertical="center"/>
    </xf>
    <xf numFmtId="0" fontId="3" fillId="0" borderId="184" xfId="0" applyFont="1" applyBorder="1" applyAlignment="1">
      <alignment horizontal="center" vertical="center" wrapText="1"/>
    </xf>
    <xf numFmtId="0" fontId="3" fillId="0" borderId="182" xfId="0" applyFont="1" applyBorder="1" applyAlignment="1">
      <alignment horizontal="center" vertical="center" wrapText="1"/>
    </xf>
    <xf numFmtId="165" fontId="3" fillId="4" borderId="87" xfId="0" applyNumberFormat="1" applyFont="1" applyFill="1" applyBorder="1" applyAlignment="1">
      <alignment horizontal="right" vertical="center"/>
    </xf>
    <xf numFmtId="165" fontId="3" fillId="0" borderId="185" xfId="0" applyNumberFormat="1" applyFont="1" applyBorder="1" applyAlignment="1">
      <alignment horizontal="right" vertical="center"/>
    </xf>
    <xf numFmtId="164" fontId="3" fillId="4" borderId="182" xfId="0" applyNumberFormat="1" applyFont="1" applyFill="1" applyBorder="1" applyAlignment="1">
      <alignment horizontal="right" vertical="center"/>
    </xf>
    <xf numFmtId="165" fontId="3" fillId="0" borderId="185" xfId="0" applyNumberFormat="1" applyFont="1" applyBorder="1" applyAlignment="1">
      <alignment horizontal="right" vertical="center" wrapText="1"/>
    </xf>
    <xf numFmtId="0" fontId="3" fillId="4" borderId="182" xfId="0" applyFont="1" applyFill="1" applyBorder="1" applyAlignment="1">
      <alignment horizontal="center" vertical="center" wrapText="1"/>
    </xf>
    <xf numFmtId="164" fontId="3" fillId="4" borderId="87" xfId="0" applyNumberFormat="1" applyFont="1" applyFill="1" applyBorder="1" applyAlignment="1">
      <alignment horizontal="center" vertical="center" wrapText="1"/>
    </xf>
    <xf numFmtId="0" fontId="3" fillId="0" borderId="183" xfId="0" applyFont="1" applyBorder="1" applyAlignment="1">
      <alignment horizontal="center" vertical="center" wrapText="1"/>
    </xf>
    <xf numFmtId="164" fontId="3" fillId="0" borderId="182" xfId="0" applyNumberFormat="1" applyFont="1" applyBorder="1" applyAlignment="1">
      <alignment horizontal="center" vertical="center" wrapText="1"/>
    </xf>
    <xf numFmtId="165" fontId="3" fillId="0" borderId="186" xfId="0" applyNumberFormat="1" applyFont="1" applyBorder="1" applyAlignment="1">
      <alignment horizontal="right" vertical="center" wrapText="1"/>
    </xf>
    <xf numFmtId="165" fontId="3" fillId="4" borderId="31" xfId="0" applyNumberFormat="1" applyFont="1" applyFill="1" applyBorder="1" applyAlignment="1">
      <alignment horizontal="right" vertical="center" wrapText="1"/>
    </xf>
    <xf numFmtId="165" fontId="3" fillId="0" borderId="9" xfId="0" applyNumberFormat="1" applyFont="1" applyBorder="1" applyAlignment="1">
      <alignment horizontal="right" vertical="center"/>
    </xf>
    <xf numFmtId="165" fontId="3" fillId="4" borderId="47" xfId="0" applyNumberFormat="1" applyFont="1" applyFill="1" applyBorder="1" applyAlignment="1">
      <alignment horizontal="right" vertical="center" wrapText="1"/>
    </xf>
    <xf numFmtId="165" fontId="3" fillId="4" borderId="46" xfId="0" applyNumberFormat="1" applyFont="1" applyFill="1" applyBorder="1" applyAlignment="1">
      <alignment horizontal="center" vertical="center" wrapText="1"/>
    </xf>
    <xf numFmtId="165" fontId="3" fillId="3" borderId="48" xfId="0" applyNumberFormat="1" applyFont="1" applyFill="1" applyBorder="1" applyAlignment="1">
      <alignment horizontal="right" vertical="center" wrapText="1"/>
    </xf>
    <xf numFmtId="165" fontId="3" fillId="4" borderId="37" xfId="0" applyNumberFormat="1" applyFont="1" applyFill="1" applyBorder="1" applyAlignment="1">
      <alignment horizontal="right" vertical="center" wrapText="1"/>
    </xf>
    <xf numFmtId="165" fontId="3" fillId="4" borderId="36" xfId="0" applyNumberFormat="1" applyFont="1" applyFill="1" applyBorder="1" applyAlignment="1">
      <alignment horizontal="center" vertical="center" wrapText="1"/>
    </xf>
    <xf numFmtId="165" fontId="3" fillId="3" borderId="38" xfId="0" applyNumberFormat="1" applyFont="1" applyFill="1" applyBorder="1" applyAlignment="1">
      <alignment horizontal="right" vertical="center" wrapText="1"/>
    </xf>
    <xf numFmtId="167" fontId="3" fillId="2" borderId="24" xfId="0" applyNumberFormat="1" applyFont="1" applyFill="1" applyBorder="1" applyAlignment="1">
      <alignment horizontal="center" vertical="center"/>
    </xf>
    <xf numFmtId="167" fontId="3" fillId="2" borderId="36" xfId="0" applyNumberFormat="1" applyFont="1" applyFill="1" applyBorder="1" applyAlignment="1">
      <alignment horizontal="center" vertical="center"/>
    </xf>
    <xf numFmtId="3" fontId="3" fillId="2" borderId="37" xfId="0" applyNumberFormat="1" applyFont="1" applyFill="1" applyBorder="1" applyAlignment="1">
      <alignment horizontal="center" vertical="center"/>
    </xf>
    <xf numFmtId="3" fontId="3" fillId="2" borderId="41" xfId="0" applyNumberFormat="1" applyFont="1" applyFill="1" applyBorder="1" applyAlignment="1">
      <alignment horizontal="center" vertical="center"/>
    </xf>
    <xf numFmtId="167" fontId="3" fillId="2" borderId="160" xfId="0" applyNumberFormat="1" applyFont="1" applyFill="1" applyBorder="1" applyAlignment="1">
      <alignment horizontal="center" vertical="center"/>
    </xf>
    <xf numFmtId="3" fontId="3" fillId="2" borderId="161" xfId="0" applyNumberFormat="1" applyFont="1" applyFill="1" applyBorder="1" applyAlignment="1">
      <alignment horizontal="center" vertical="center"/>
    </xf>
    <xf numFmtId="0" fontId="3" fillId="3" borderId="0" xfId="0" applyFont="1" applyFill="1" applyAlignment="1">
      <alignment horizontal="center" vertical="center"/>
    </xf>
    <xf numFmtId="3" fontId="3" fillId="3" borderId="0" xfId="0" applyNumberFormat="1" applyFont="1" applyFill="1" applyAlignment="1">
      <alignment horizontal="center" vertical="center"/>
    </xf>
    <xf numFmtId="3" fontId="3" fillId="3" borderId="0" xfId="0" applyNumberFormat="1" applyFont="1" applyFill="1" applyAlignment="1">
      <alignment horizontal="left" vertical="center"/>
    </xf>
    <xf numFmtId="164" fontId="3" fillId="3" borderId="0" xfId="0" applyNumberFormat="1" applyFont="1" applyFill="1" applyAlignment="1">
      <alignment vertical="center"/>
    </xf>
    <xf numFmtId="164" fontId="3" fillId="3" borderId="0" xfId="0" applyNumberFormat="1" applyFont="1" applyFill="1" applyAlignment="1">
      <alignment horizontal="right" vertical="center"/>
    </xf>
    <xf numFmtId="165" fontId="3" fillId="3" borderId="0" xfId="0" applyNumberFormat="1" applyFont="1" applyFill="1" applyAlignment="1">
      <alignment horizontal="right" vertical="center"/>
    </xf>
    <xf numFmtId="164" fontId="3" fillId="3" borderId="0" xfId="0" applyNumberFormat="1" applyFont="1" applyFill="1" applyAlignment="1">
      <alignment vertical="center"/>
    </xf>
    <xf numFmtId="170" fontId="3" fillId="3" borderId="166" xfId="0" applyNumberFormat="1" applyFont="1" applyFill="1" applyBorder="1" applyAlignment="1">
      <alignment vertical="center" wrapText="1"/>
    </xf>
    <xf numFmtId="165" fontId="16" fillId="13" borderId="10" xfId="0" applyNumberFormat="1" applyFont="1" applyFill="1" applyBorder="1" applyAlignment="1">
      <alignment horizontal="right" vertical="center" wrapText="1"/>
    </xf>
    <xf numFmtId="165" fontId="5" fillId="0" borderId="0" xfId="0" applyNumberFormat="1" applyFont="1" applyFill="1" applyAlignment="1">
      <alignment vertical="center"/>
    </xf>
    <xf numFmtId="0" fontId="20" fillId="8" borderId="0" xfId="0" applyFont="1" applyFill="1" applyAlignment="1"/>
    <xf numFmtId="0" fontId="0" fillId="0" borderId="0" xfId="0" applyFont="1" applyAlignment="1"/>
    <xf numFmtId="0" fontId="1" fillId="0" borderId="1" xfId="0" applyFont="1" applyBorder="1" applyAlignment="1">
      <alignment vertical="top" wrapText="1"/>
    </xf>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2" fillId="0" borderId="6" xfId="0" applyFont="1" applyBorder="1"/>
    <xf numFmtId="0" fontId="2" fillId="0" borderId="7" xfId="0" applyFont="1" applyBorder="1"/>
    <xf numFmtId="0" fontId="2" fillId="0" borderId="8" xfId="0" applyFont="1" applyBorder="1"/>
    <xf numFmtId="0" fontId="5" fillId="0" borderId="11" xfId="0" applyFont="1" applyBorder="1" applyAlignment="1">
      <alignment vertical="center" wrapText="1"/>
    </xf>
    <xf numFmtId="0" fontId="2" fillId="0" borderId="11" xfId="0" applyFont="1" applyBorder="1"/>
    <xf numFmtId="0" fontId="2" fillId="0" borderId="13" xfId="0" applyFont="1" applyBorder="1"/>
    <xf numFmtId="164" fontId="5" fillId="0" borderId="11" xfId="0" applyNumberFormat="1" applyFont="1" applyBorder="1" applyAlignment="1">
      <alignment vertical="center"/>
    </xf>
    <xf numFmtId="0" fontId="2" fillId="0" borderId="14" xfId="0" applyFont="1" applyBorder="1"/>
    <xf numFmtId="0" fontId="5" fillId="0" borderId="12" xfId="0" applyFont="1" applyBorder="1" applyAlignment="1">
      <alignment vertical="center"/>
    </xf>
    <xf numFmtId="0" fontId="2" fillId="0" borderId="15" xfId="0" applyFont="1" applyBorder="1"/>
    <xf numFmtId="0" fontId="16" fillId="8" borderId="0" xfId="0" applyFont="1" applyFill="1" applyAlignment="1">
      <alignment vertical="center" wrapText="1"/>
    </xf>
    <xf numFmtId="0" fontId="3" fillId="0" borderId="21" xfId="0" applyFont="1" applyBorder="1" applyAlignment="1">
      <alignment vertical="center" wrapText="1"/>
    </xf>
    <xf numFmtId="0" fontId="2" fillId="0" borderId="27" xfId="0" applyFont="1" applyBorder="1"/>
    <xf numFmtId="0" fontId="2" fillId="0" borderId="33" xfId="0" applyFont="1" applyBorder="1"/>
    <xf numFmtId="0" fontId="3" fillId="0" borderId="39" xfId="0" applyFont="1" applyBorder="1" applyAlignment="1">
      <alignment vertical="center" wrapText="1"/>
    </xf>
    <xf numFmtId="0" fontId="2" fillId="0" borderId="43" xfId="0" applyFont="1" applyBorder="1"/>
    <xf numFmtId="0" fontId="2" fillId="0" borderId="44" xfId="0" applyFont="1" applyBorder="1"/>
    <xf numFmtId="0" fontId="3" fillId="0" borderId="49" xfId="0" applyFont="1" applyBorder="1" applyAlignment="1">
      <alignment vertical="center" wrapText="1"/>
    </xf>
    <xf numFmtId="0" fontId="3" fillId="0" borderId="167" xfId="0" applyFont="1" applyBorder="1" applyAlignment="1">
      <alignment vertical="center" wrapText="1"/>
    </xf>
    <xf numFmtId="0" fontId="2" fillId="0" borderId="167" xfId="0" applyFont="1" applyBorder="1"/>
    <xf numFmtId="0" fontId="5" fillId="10" borderId="116" xfId="0" applyFont="1" applyFill="1" applyBorder="1" applyAlignment="1">
      <alignment vertical="center" wrapText="1"/>
    </xf>
    <xf numFmtId="0" fontId="2" fillId="0" borderId="94" xfId="0" applyFont="1" applyBorder="1"/>
    <xf numFmtId="0" fontId="5" fillId="10" borderId="94" xfId="0" applyFont="1" applyFill="1" applyBorder="1" applyAlignment="1">
      <alignment horizontal="center" vertical="center"/>
    </xf>
    <xf numFmtId="0" fontId="11" fillId="3" borderId="115" xfId="0" applyFont="1" applyFill="1" applyBorder="1" applyAlignment="1">
      <alignment vertical="center" wrapText="1"/>
    </xf>
    <xf numFmtId="0" fontId="12" fillId="3" borderId="115" xfId="0" applyFont="1" applyFill="1" applyBorder="1" applyAlignment="1">
      <alignment vertical="center" wrapText="1"/>
    </xf>
    <xf numFmtId="0" fontId="5" fillId="11" borderId="115" xfId="0" applyFont="1" applyFill="1" applyBorder="1" applyAlignment="1">
      <alignment vertical="center" wrapText="1"/>
    </xf>
    <xf numFmtId="0" fontId="16" fillId="10" borderId="0" xfId="0" applyFont="1" applyFill="1" applyAlignment="1">
      <alignment horizontal="center" vertical="center" wrapText="1"/>
    </xf>
    <xf numFmtId="0" fontId="16" fillId="13" borderId="115" xfId="0" applyFont="1" applyFill="1" applyBorder="1" applyAlignment="1">
      <alignment vertical="center" wrapText="1"/>
    </xf>
    <xf numFmtId="0" fontId="16" fillId="13" borderId="0" xfId="0" applyFont="1" applyFill="1" applyAlignment="1">
      <alignment horizontal="center" vertical="center"/>
    </xf>
    <xf numFmtId="0" fontId="5" fillId="12" borderId="0" xfId="0" applyFont="1" applyFill="1" applyAlignment="1">
      <alignment vertical="center" wrapText="1"/>
    </xf>
    <xf numFmtId="0" fontId="3" fillId="3" borderId="116" xfId="0" applyFont="1" applyFill="1" applyBorder="1" applyAlignment="1">
      <alignment vertical="center" wrapText="1"/>
    </xf>
    <xf numFmtId="0" fontId="2" fillId="0" borderId="155" xfId="0" applyFont="1" applyBorder="1"/>
    <xf numFmtId="0" fontId="3" fillId="3" borderId="115" xfId="0" applyFont="1" applyFill="1" applyBorder="1" applyAlignment="1">
      <alignment vertical="center" wrapText="1"/>
    </xf>
    <xf numFmtId="0" fontId="2" fillId="0" borderId="119" xfId="0" applyFont="1" applyBorder="1"/>
    <xf numFmtId="0" fontId="16" fillId="11" borderId="0" xfId="0" applyFont="1" applyFill="1" applyAlignment="1">
      <alignment horizontal="center" vertical="center" wrapText="1"/>
    </xf>
    <xf numFmtId="0" fontId="16" fillId="11" borderId="115" xfId="0" applyFont="1" applyFill="1" applyBorder="1" applyAlignment="1">
      <alignment vertical="center" wrapText="1"/>
    </xf>
    <xf numFmtId="165" fontId="5" fillId="11" borderId="149" xfId="0" applyNumberFormat="1" applyFont="1" applyFill="1" applyBorder="1" applyAlignment="1">
      <alignment vertical="center" wrapText="1"/>
    </xf>
    <xf numFmtId="0" fontId="2" fillId="0" borderId="17" xfId="0" applyFont="1" applyBorder="1"/>
    <xf numFmtId="165" fontId="5" fillId="11" borderId="17" xfId="0" applyNumberFormat="1" applyFont="1" applyFill="1" applyBorder="1" applyAlignment="1">
      <alignment horizontal="center" vertical="center" wrapText="1"/>
    </xf>
    <xf numFmtId="165" fontId="5" fillId="7" borderId="149" xfId="0" applyNumberFormat="1" applyFont="1" applyFill="1" applyBorder="1" applyAlignment="1">
      <alignment vertical="center" wrapText="1"/>
    </xf>
    <xf numFmtId="0" fontId="5" fillId="8" borderId="0" xfId="0" applyFont="1" applyFill="1" applyAlignment="1">
      <alignment vertical="center" wrapText="1"/>
    </xf>
    <xf numFmtId="0" fontId="3" fillId="0" borderId="58" xfId="0" applyFont="1" applyBorder="1" applyAlignment="1">
      <alignment vertical="center" wrapText="1"/>
    </xf>
    <xf numFmtId="0" fontId="3" fillId="0" borderId="43" xfId="0" applyFont="1" applyBorder="1" applyAlignment="1">
      <alignment vertical="center" wrapText="1"/>
    </xf>
    <xf numFmtId="0" fontId="3" fillId="0" borderId="0" xfId="0" applyFont="1" applyAlignment="1">
      <alignment vertical="center" wrapText="1"/>
    </xf>
    <xf numFmtId="0" fontId="2" fillId="0" borderId="73" xfId="0" applyFont="1" applyBorder="1"/>
    <xf numFmtId="0" fontId="3" fillId="0" borderId="59" xfId="0" applyFont="1" applyBorder="1" applyAlignment="1">
      <alignment vertical="center" wrapText="1"/>
    </xf>
    <xf numFmtId="0" fontId="3" fillId="0" borderId="27" xfId="0" applyFont="1" applyBorder="1" applyAlignment="1">
      <alignment vertical="center" wrapText="1"/>
    </xf>
    <xf numFmtId="0" fontId="2" fillId="0" borderId="179" xfId="0" applyFont="1" applyBorder="1"/>
    <xf numFmtId="0" fontId="16" fillId="10" borderId="115" xfId="0" applyFont="1" applyFill="1" applyBorder="1" applyAlignment="1">
      <alignment vertical="center" wrapText="1"/>
    </xf>
    <xf numFmtId="0" fontId="25" fillId="0" borderId="101" xfId="0" applyFont="1" applyBorder="1" applyAlignment="1">
      <alignment vertical="center" wrapText="1"/>
    </xf>
  </cellXfs>
  <cellStyles count="1">
    <cellStyle name="Normal" xfId="0" builtinId="0"/>
  </cellStyles>
  <dxfs count="6">
    <dxf>
      <fill>
        <patternFill patternType="solid">
          <fgColor rgb="FFF4C7C3"/>
          <bgColor rgb="FFF4C7C3"/>
        </patternFill>
      </fill>
    </dxf>
    <dxf>
      <font>
        <color rgb="FFB7E1CD"/>
      </font>
      <fill>
        <patternFill patternType="solid">
          <fgColor rgb="FFB7E1CD"/>
          <bgColor rgb="FFB7E1CD"/>
        </patternFill>
      </fill>
    </dxf>
    <dxf>
      <font>
        <color rgb="FFF4CCCC"/>
      </font>
      <fill>
        <patternFill patternType="solid">
          <fgColor rgb="FFF4CCCC"/>
          <bgColor rgb="FFF4CCCC"/>
        </patternFill>
      </fill>
    </dxf>
    <dxf>
      <font>
        <color rgb="FFB7E1CD"/>
      </font>
      <fill>
        <patternFill patternType="solid">
          <fgColor rgb="FFB7E1CD"/>
          <bgColor rgb="FFB7E1CD"/>
        </patternFill>
      </fill>
    </dxf>
    <dxf>
      <fill>
        <patternFill patternType="solid">
          <fgColor rgb="FFB7E1CD"/>
          <bgColor rgb="FFB7E1CD"/>
        </patternFill>
      </fill>
    </dxf>
    <dxf>
      <font>
        <color rgb="FFEFEFEF"/>
      </font>
      <fill>
        <patternFill patternType="solid">
          <fgColor rgb="FFEFEFEF"/>
          <bgColor rgb="FFEFEFE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14</xdr:col>
      <xdr:colOff>952500</xdr:colOff>
      <xdr:row>4</xdr:row>
      <xdr:rowOff>76200</xdr:rowOff>
    </xdr:from>
    <xdr:ext cx="1076325" cy="962025"/>
    <xdr:pic>
      <xdr:nvPicPr>
        <xdr:cNvPr id="2" name="image8.png" title="Image">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314325</xdr:colOff>
      <xdr:row>43</xdr:row>
      <xdr:rowOff>85725</xdr:rowOff>
    </xdr:from>
    <xdr:ext cx="923925" cy="400050"/>
    <xdr:pic>
      <xdr:nvPicPr>
        <xdr:cNvPr id="2" name="image7.png" title="Image">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9525</xdr:colOff>
      <xdr:row>43</xdr:row>
      <xdr:rowOff>85725</xdr:rowOff>
    </xdr:from>
    <xdr:ext cx="1295400" cy="400050"/>
    <xdr:pic>
      <xdr:nvPicPr>
        <xdr:cNvPr id="3" name="image6.png" title="Image">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B2:P17"/>
  <sheetViews>
    <sheetView showGridLines="0" tabSelected="1" workbookViewId="0">
      <selection activeCell="B18" sqref="B18"/>
    </sheetView>
  </sheetViews>
  <sheetFormatPr baseColWidth="10" defaultColWidth="12.6640625" defaultRowHeight="15.75" customHeight="1" x14ac:dyDescent="0.15"/>
  <cols>
    <col min="1" max="3" width="3.5" customWidth="1"/>
    <col min="5" max="5" width="3.6640625" customWidth="1"/>
    <col min="8" max="8" width="9.1640625" customWidth="1"/>
    <col min="10" max="10" width="3.6640625" customWidth="1"/>
    <col min="16" max="16" width="14.5" customWidth="1"/>
  </cols>
  <sheetData>
    <row r="2" spans="2:16" ht="15.75" customHeight="1" x14ac:dyDescent="0.15">
      <c r="B2" s="1048" t="s">
        <v>166</v>
      </c>
      <c r="C2" s="1049"/>
      <c r="D2" s="1049"/>
      <c r="E2" s="1049"/>
      <c r="F2" s="1049"/>
      <c r="G2" s="908"/>
      <c r="H2" s="908"/>
      <c r="I2" s="908"/>
      <c r="J2" s="908"/>
      <c r="K2" s="908"/>
      <c r="L2" s="908"/>
      <c r="M2" s="908"/>
      <c r="N2" s="908"/>
      <c r="O2" s="908"/>
      <c r="P2" s="908"/>
    </row>
    <row r="4" spans="2:16" ht="15.75" customHeight="1" x14ac:dyDescent="0.15">
      <c r="B4" s="1048" t="s">
        <v>1</v>
      </c>
      <c r="C4" s="1049"/>
      <c r="D4" s="1049"/>
      <c r="E4" s="908"/>
      <c r="F4" s="908"/>
      <c r="G4" s="908"/>
      <c r="H4" s="908"/>
      <c r="I4" s="908"/>
      <c r="J4" s="908"/>
      <c r="K4" s="908"/>
      <c r="L4" s="908"/>
      <c r="M4" s="908"/>
      <c r="N4" s="908"/>
      <c r="O4" s="908"/>
      <c r="P4" s="908"/>
    </row>
    <row r="6" spans="2:16" ht="15.75" customHeight="1" x14ac:dyDescent="0.15">
      <c r="D6" s="909"/>
      <c r="F6" s="907" t="s">
        <v>2</v>
      </c>
      <c r="H6" s="910"/>
      <c r="I6" s="911"/>
      <c r="K6" s="907" t="s">
        <v>3</v>
      </c>
    </row>
    <row r="8" spans="2:16" ht="15.75" customHeight="1" x14ac:dyDescent="0.15">
      <c r="D8" s="912"/>
      <c r="F8" s="907" t="s">
        <v>4</v>
      </c>
      <c r="I8" s="913"/>
      <c r="K8" s="907" t="s">
        <v>5</v>
      </c>
    </row>
    <row r="10" spans="2:16" ht="15.75" customHeight="1" x14ac:dyDescent="0.15">
      <c r="D10" s="914"/>
      <c r="F10" s="907" t="s">
        <v>6</v>
      </c>
      <c r="H10" s="907"/>
      <c r="I10" s="907" t="s">
        <v>7</v>
      </c>
    </row>
    <row r="12" spans="2:16" ht="15.75" customHeight="1" x14ac:dyDescent="0.15">
      <c r="B12" s="1048" t="s">
        <v>0</v>
      </c>
      <c r="C12" s="1049"/>
      <c r="D12" s="1049"/>
      <c r="E12" s="908"/>
      <c r="F12" s="908"/>
      <c r="G12" s="908"/>
      <c r="H12" s="908"/>
      <c r="I12" s="908"/>
      <c r="J12" s="908"/>
      <c r="K12" s="908"/>
      <c r="L12" s="908"/>
      <c r="M12" s="908"/>
      <c r="N12" s="908"/>
      <c r="O12" s="908"/>
      <c r="P12" s="908"/>
    </row>
    <row r="14" spans="2:16" ht="15.75" customHeight="1" x14ac:dyDescent="0.15">
      <c r="B14" s="1050" t="s">
        <v>187</v>
      </c>
      <c r="C14" s="1051"/>
      <c r="D14" s="1051"/>
      <c r="E14" s="1051"/>
      <c r="F14" s="1051"/>
      <c r="G14" s="1051"/>
      <c r="H14" s="1051"/>
      <c r="I14" s="1051"/>
      <c r="J14" s="1051"/>
      <c r="K14" s="1051"/>
      <c r="L14" s="1051"/>
      <c r="M14" s="1051"/>
      <c r="N14" s="1051"/>
      <c r="O14" s="1051"/>
      <c r="P14" s="1052"/>
    </row>
    <row r="15" spans="2:16" ht="15.75" customHeight="1" x14ac:dyDescent="0.15">
      <c r="B15" s="1053"/>
      <c r="C15" s="1049"/>
      <c r="D15" s="1049"/>
      <c r="E15" s="1049"/>
      <c r="F15" s="1049"/>
      <c r="G15" s="1049"/>
      <c r="H15" s="1049"/>
      <c r="I15" s="1049"/>
      <c r="J15" s="1049"/>
      <c r="K15" s="1049"/>
      <c r="L15" s="1049"/>
      <c r="M15" s="1049"/>
      <c r="N15" s="1049"/>
      <c r="O15" s="1049"/>
      <c r="P15" s="1054"/>
    </row>
    <row r="16" spans="2:16" ht="15.75" customHeight="1" x14ac:dyDescent="0.15">
      <c r="B16" s="1053"/>
      <c r="C16" s="1049"/>
      <c r="D16" s="1049"/>
      <c r="E16" s="1049"/>
      <c r="F16" s="1049"/>
      <c r="G16" s="1049"/>
      <c r="H16" s="1049"/>
      <c r="I16" s="1049"/>
      <c r="J16" s="1049"/>
      <c r="K16" s="1049"/>
      <c r="L16" s="1049"/>
      <c r="M16" s="1049"/>
      <c r="N16" s="1049"/>
      <c r="O16" s="1049"/>
      <c r="P16" s="1054"/>
    </row>
    <row r="17" spans="2:16" ht="15.75" customHeight="1" x14ac:dyDescent="0.15">
      <c r="B17" s="1055"/>
      <c r="C17" s="1056"/>
      <c r="D17" s="1056"/>
      <c r="E17" s="1056"/>
      <c r="F17" s="1056"/>
      <c r="G17" s="1056"/>
      <c r="H17" s="1056"/>
      <c r="I17" s="1056"/>
      <c r="J17" s="1056"/>
      <c r="K17" s="1056"/>
      <c r="L17" s="1056"/>
      <c r="M17" s="1056"/>
      <c r="N17" s="1056"/>
      <c r="O17" s="1056"/>
      <c r="P17" s="1057"/>
    </row>
  </sheetData>
  <mergeCells count="4">
    <mergeCell ref="B2:F2"/>
    <mergeCell ref="B4:D4"/>
    <mergeCell ref="B12:D12"/>
    <mergeCell ref="B14:P1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CI151"/>
  <sheetViews>
    <sheetView showGridLines="0" workbookViewId="0">
      <pane xSplit="4" ySplit="4" topLeftCell="E5" activePane="bottomRight" state="frozen"/>
      <selection pane="topRight" activeCell="E1" sqref="E1"/>
      <selection pane="bottomLeft" activeCell="A5" sqref="A5"/>
      <selection pane="bottomRight" activeCell="D5" sqref="D5"/>
    </sheetView>
  </sheetViews>
  <sheetFormatPr baseColWidth="10" defaultColWidth="0" defaultRowHeight="15.75" customHeight="1" outlineLevelRow="1" outlineLevelCol="1" x14ac:dyDescent="0.15"/>
  <cols>
    <col min="1" max="1" width="1.5" customWidth="1"/>
    <col min="2" max="2" width="15.6640625" customWidth="1"/>
    <col min="3" max="3" width="18.1640625" customWidth="1"/>
    <col min="4" max="4" width="20.6640625" customWidth="1"/>
    <col min="5" max="5" width="22.5" customWidth="1"/>
    <col min="6" max="7" width="6.33203125" customWidth="1"/>
    <col min="8" max="8" width="7.6640625" customWidth="1"/>
    <col min="9" max="9" width="18.83203125" customWidth="1"/>
    <col min="10" max="10" width="12.6640625" customWidth="1"/>
    <col min="11" max="11" width="8.83203125" customWidth="1"/>
    <col min="12" max="12" width="9.5" customWidth="1"/>
    <col min="13" max="13" width="21.6640625" customWidth="1"/>
    <col min="14" max="14" width="9.1640625" customWidth="1"/>
    <col min="15" max="15" width="9.6640625" customWidth="1"/>
    <col min="16" max="17" width="12.6640625" customWidth="1"/>
    <col min="18" max="18" width="24.5" customWidth="1"/>
    <col min="19" max="19" width="8.1640625" customWidth="1"/>
    <col min="20" max="20" width="8.6640625" customWidth="1"/>
    <col min="21" max="21" width="9.1640625" customWidth="1"/>
    <col min="22" max="22" width="27.33203125" customWidth="1"/>
    <col min="23" max="23" width="8.1640625" customWidth="1"/>
    <col min="24" max="24" width="8.6640625" customWidth="1"/>
    <col min="25" max="25" width="9.1640625" customWidth="1"/>
    <col min="26" max="26" width="3.5" customWidth="1"/>
    <col min="27" max="27" width="12" customWidth="1"/>
    <col min="28" max="28" width="3.5" customWidth="1" outlineLevel="1"/>
    <col min="29" max="71" width="12" customWidth="1" outlineLevel="1"/>
    <col min="72" max="73" width="3.5" customWidth="1"/>
    <col min="74" max="74" width="14.6640625" customWidth="1"/>
    <col min="75" max="75" width="3.5" customWidth="1"/>
    <col min="76" max="76" width="31.83203125" customWidth="1"/>
    <col min="77" max="77" width="9.83203125" customWidth="1"/>
    <col min="78" max="78" width="12.6640625" hidden="1"/>
    <col min="88" max="16384" width="12.6640625" hidden="1"/>
  </cols>
  <sheetData>
    <row r="1" spans="1:77" ht="16" x14ac:dyDescent="0.2">
      <c r="A1" s="2"/>
      <c r="B1" s="165">
        <v>2023</v>
      </c>
      <c r="D1" s="163" t="str">
        <f>IF(AND(F150="Yes",G150="Yes",H150="Yes",L150="Yes",O150="Yes",P150="Yes",U150="Yes",Y150="Yes"),"CORRECT","ERROR - Check R157")</f>
        <v>CORRECT</v>
      </c>
      <c r="E1" s="166">
        <v>44690</v>
      </c>
      <c r="F1" s="915" t="s">
        <v>114</v>
      </c>
      <c r="G1" s="916"/>
      <c r="H1" s="167"/>
      <c r="I1" s="9"/>
      <c r="J1" s="7"/>
      <c r="K1" s="4"/>
      <c r="L1" s="168"/>
      <c r="M1" s="8"/>
      <c r="N1" s="8"/>
      <c r="O1" s="4"/>
      <c r="P1" s="169"/>
      <c r="Q1" s="4"/>
      <c r="R1" s="4"/>
      <c r="S1" s="4"/>
      <c r="T1" s="4"/>
      <c r="U1" s="4"/>
      <c r="V1" s="9"/>
      <c r="W1" s="4"/>
      <c r="X1" s="170"/>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5"/>
      <c r="BV1" s="9"/>
      <c r="BW1" s="5"/>
      <c r="BX1" s="9"/>
      <c r="BY1" s="5"/>
    </row>
    <row r="2" spans="1:77" ht="5.25" customHeight="1" x14ac:dyDescent="0.15">
      <c r="A2" s="4"/>
      <c r="B2" s="76"/>
      <c r="C2" s="76"/>
      <c r="D2" s="4"/>
      <c r="E2" s="5"/>
      <c r="F2" s="6"/>
      <c r="G2" s="6"/>
      <c r="H2" s="167"/>
      <c r="I2" s="9"/>
      <c r="J2" s="9"/>
      <c r="K2" s="9"/>
      <c r="L2" s="9"/>
      <c r="M2" s="8"/>
      <c r="N2" s="8"/>
      <c r="O2" s="8"/>
      <c r="P2" s="169"/>
      <c r="Q2" s="4"/>
      <c r="R2" s="4"/>
      <c r="S2" s="4"/>
      <c r="T2" s="4"/>
      <c r="U2" s="4"/>
      <c r="V2" s="9"/>
      <c r="W2" s="4"/>
      <c r="X2" s="170"/>
      <c r="Y2" s="4"/>
      <c r="Z2" s="4"/>
      <c r="AA2" s="4"/>
      <c r="AB2" s="4"/>
      <c r="AC2" s="171"/>
      <c r="AD2" s="171"/>
      <c r="AE2" s="171"/>
      <c r="AF2" s="171"/>
      <c r="AG2" s="171"/>
      <c r="AH2" s="171"/>
      <c r="AI2" s="171"/>
      <c r="AJ2" s="171"/>
      <c r="AK2" s="171"/>
      <c r="AL2" s="171"/>
      <c r="AM2" s="171"/>
      <c r="AN2" s="171"/>
      <c r="AO2" s="171"/>
      <c r="AP2" s="171"/>
      <c r="AQ2" s="171"/>
      <c r="AR2" s="171"/>
      <c r="AS2" s="171"/>
      <c r="AT2" s="171"/>
      <c r="AU2" s="171"/>
      <c r="AV2" s="171"/>
      <c r="AW2" s="171"/>
      <c r="AX2" s="171"/>
      <c r="AY2" s="171"/>
      <c r="AZ2" s="171"/>
      <c r="BA2" s="171"/>
      <c r="BB2" s="171"/>
      <c r="BC2" s="171"/>
      <c r="BD2" s="171"/>
      <c r="BE2" s="171"/>
      <c r="BF2" s="171"/>
      <c r="BG2" s="171"/>
      <c r="BH2" s="171"/>
      <c r="BI2" s="171"/>
      <c r="BJ2" s="171"/>
      <c r="BK2" s="171"/>
      <c r="BL2" s="171"/>
      <c r="BM2" s="171"/>
      <c r="BN2" s="171"/>
      <c r="BO2" s="171"/>
      <c r="BP2" s="171"/>
      <c r="BQ2" s="171"/>
      <c r="BR2" s="171"/>
      <c r="BS2" s="171"/>
      <c r="BT2" s="4"/>
      <c r="BU2" s="5"/>
      <c r="BV2" s="9"/>
      <c r="BW2" s="5"/>
      <c r="BX2" s="9"/>
      <c r="BY2" s="5"/>
    </row>
    <row r="3" spans="1:77" ht="16" x14ac:dyDescent="0.15">
      <c r="A3" s="4"/>
      <c r="B3" s="172" t="str">
        <f ca="1">"Site: "&amp;C129</f>
        <v>Site: XX</v>
      </c>
      <c r="C3" s="173"/>
      <c r="D3" s="10" t="s">
        <v>8</v>
      </c>
      <c r="E3" s="11"/>
      <c r="F3" s="12"/>
      <c r="G3" s="12"/>
      <c r="H3" s="174"/>
      <c r="I3" s="1058" t="s">
        <v>9</v>
      </c>
      <c r="J3" s="1059"/>
      <c r="K3" s="1059"/>
      <c r="L3" s="1060"/>
      <c r="M3" s="1061" t="s">
        <v>10</v>
      </c>
      <c r="N3" s="1059"/>
      <c r="O3" s="1062"/>
      <c r="P3" s="175" t="s">
        <v>11</v>
      </c>
      <c r="Q3" s="1063" t="s">
        <v>12</v>
      </c>
      <c r="R3" s="1059"/>
      <c r="S3" s="1059"/>
      <c r="T3" s="1059"/>
      <c r="U3" s="1060"/>
      <c r="V3" s="1058" t="s">
        <v>13</v>
      </c>
      <c r="W3" s="1059"/>
      <c r="X3" s="1059"/>
      <c r="Y3" s="1064"/>
      <c r="Z3" s="4"/>
      <c r="AA3" s="4" t="s">
        <v>115</v>
      </c>
      <c r="AB3" s="4"/>
      <c r="AC3" s="917">
        <f>B1+AC4</f>
        <v>2021</v>
      </c>
      <c r="AD3" s="917">
        <f>B1+AD4</f>
        <v>2022</v>
      </c>
      <c r="AE3" s="917">
        <f>B1</f>
        <v>2023</v>
      </c>
      <c r="AF3" s="917">
        <f t="shared" ref="AF3:BS3" si="0">$AE$3+AF4</f>
        <v>2024</v>
      </c>
      <c r="AG3" s="917">
        <f t="shared" si="0"/>
        <v>2025</v>
      </c>
      <c r="AH3" s="917">
        <f t="shared" si="0"/>
        <v>2026</v>
      </c>
      <c r="AI3" s="917">
        <f t="shared" si="0"/>
        <v>2027</v>
      </c>
      <c r="AJ3" s="917">
        <f t="shared" si="0"/>
        <v>2028</v>
      </c>
      <c r="AK3" s="917">
        <f t="shared" si="0"/>
        <v>2029</v>
      </c>
      <c r="AL3" s="917">
        <f t="shared" si="0"/>
        <v>2030</v>
      </c>
      <c r="AM3" s="917">
        <f t="shared" si="0"/>
        <v>2031</v>
      </c>
      <c r="AN3" s="917">
        <f t="shared" si="0"/>
        <v>2032</v>
      </c>
      <c r="AO3" s="917">
        <f t="shared" si="0"/>
        <v>2033</v>
      </c>
      <c r="AP3" s="917">
        <f t="shared" si="0"/>
        <v>2034</v>
      </c>
      <c r="AQ3" s="917">
        <f t="shared" si="0"/>
        <v>2035</v>
      </c>
      <c r="AR3" s="917">
        <f t="shared" si="0"/>
        <v>2036</v>
      </c>
      <c r="AS3" s="917">
        <f t="shared" si="0"/>
        <v>2037</v>
      </c>
      <c r="AT3" s="917">
        <f t="shared" si="0"/>
        <v>2038</v>
      </c>
      <c r="AU3" s="917">
        <f t="shared" si="0"/>
        <v>2039</v>
      </c>
      <c r="AV3" s="917">
        <f t="shared" si="0"/>
        <v>2040</v>
      </c>
      <c r="AW3" s="917">
        <f t="shared" si="0"/>
        <v>2041</v>
      </c>
      <c r="AX3" s="917">
        <f t="shared" si="0"/>
        <v>2042</v>
      </c>
      <c r="AY3" s="917">
        <f t="shared" si="0"/>
        <v>2043</v>
      </c>
      <c r="AZ3" s="917">
        <f t="shared" si="0"/>
        <v>2044</v>
      </c>
      <c r="BA3" s="917">
        <f t="shared" si="0"/>
        <v>2045</v>
      </c>
      <c r="BB3" s="917">
        <f t="shared" si="0"/>
        <v>2046</v>
      </c>
      <c r="BC3" s="917">
        <f t="shared" si="0"/>
        <v>2047</v>
      </c>
      <c r="BD3" s="917">
        <f t="shared" si="0"/>
        <v>2048</v>
      </c>
      <c r="BE3" s="917">
        <f t="shared" si="0"/>
        <v>2049</v>
      </c>
      <c r="BF3" s="917">
        <f t="shared" si="0"/>
        <v>2050</v>
      </c>
      <c r="BG3" s="917">
        <f t="shared" si="0"/>
        <v>2051</v>
      </c>
      <c r="BH3" s="917">
        <f t="shared" si="0"/>
        <v>2052</v>
      </c>
      <c r="BI3" s="917">
        <f t="shared" si="0"/>
        <v>2053</v>
      </c>
      <c r="BJ3" s="917">
        <f t="shared" si="0"/>
        <v>2054</v>
      </c>
      <c r="BK3" s="917">
        <f t="shared" si="0"/>
        <v>2055</v>
      </c>
      <c r="BL3" s="917">
        <f t="shared" si="0"/>
        <v>2056</v>
      </c>
      <c r="BM3" s="917">
        <f t="shared" si="0"/>
        <v>2057</v>
      </c>
      <c r="BN3" s="917">
        <f t="shared" si="0"/>
        <v>2058</v>
      </c>
      <c r="BO3" s="917">
        <f t="shared" si="0"/>
        <v>2059</v>
      </c>
      <c r="BP3" s="917">
        <f t="shared" si="0"/>
        <v>2060</v>
      </c>
      <c r="BQ3" s="917">
        <f t="shared" si="0"/>
        <v>2061</v>
      </c>
      <c r="BR3" s="917">
        <f t="shared" si="0"/>
        <v>2062</v>
      </c>
      <c r="BS3" s="917">
        <f t="shared" si="0"/>
        <v>2063</v>
      </c>
      <c r="BT3" s="4"/>
      <c r="BU3" s="5"/>
      <c r="BV3" s="9"/>
      <c r="BW3" s="5"/>
      <c r="BX3" s="9"/>
      <c r="BY3" s="5"/>
    </row>
    <row r="4" spans="1:77" ht="48" customHeight="1" x14ac:dyDescent="0.15">
      <c r="A4" s="4"/>
      <c r="B4" s="176" t="s">
        <v>14</v>
      </c>
      <c r="C4" s="177" t="s">
        <v>15</v>
      </c>
      <c r="D4" s="178" t="s">
        <v>16</v>
      </c>
      <c r="E4" s="179" t="s">
        <v>17</v>
      </c>
      <c r="F4" s="180" t="s">
        <v>18</v>
      </c>
      <c r="G4" s="181" t="s">
        <v>19</v>
      </c>
      <c r="H4" s="182" t="s">
        <v>20</v>
      </c>
      <c r="I4" s="183" t="s">
        <v>15</v>
      </c>
      <c r="J4" s="184" t="s">
        <v>21</v>
      </c>
      <c r="K4" s="185" t="s">
        <v>22</v>
      </c>
      <c r="L4" s="186" t="s">
        <v>23</v>
      </c>
      <c r="M4" s="184" t="s">
        <v>15</v>
      </c>
      <c r="N4" s="185" t="s">
        <v>22</v>
      </c>
      <c r="O4" s="187" t="s">
        <v>24</v>
      </c>
      <c r="P4" s="188" t="s">
        <v>25</v>
      </c>
      <c r="Q4" s="189" t="s">
        <v>26</v>
      </c>
      <c r="R4" s="190" t="s">
        <v>27</v>
      </c>
      <c r="S4" s="181" t="s">
        <v>28</v>
      </c>
      <c r="T4" s="185" t="s">
        <v>22</v>
      </c>
      <c r="U4" s="191" t="s">
        <v>29</v>
      </c>
      <c r="V4" s="192" t="s">
        <v>27</v>
      </c>
      <c r="W4" s="181" t="s">
        <v>28</v>
      </c>
      <c r="X4" s="193" t="s">
        <v>22</v>
      </c>
      <c r="Y4" s="194" t="s">
        <v>29</v>
      </c>
      <c r="Z4" s="9"/>
      <c r="AA4" s="13" t="s">
        <v>30</v>
      </c>
      <c r="AB4" s="195"/>
      <c r="AC4" s="13">
        <v>-2</v>
      </c>
      <c r="AD4" s="13">
        <v>-1</v>
      </c>
      <c r="AE4" s="13">
        <v>0</v>
      </c>
      <c r="AF4" s="196">
        <v>1</v>
      </c>
      <c r="AG4" s="196">
        <v>2</v>
      </c>
      <c r="AH4" s="196">
        <v>3</v>
      </c>
      <c r="AI4" s="196">
        <v>4</v>
      </c>
      <c r="AJ4" s="196">
        <v>5</v>
      </c>
      <c r="AK4" s="196">
        <v>6</v>
      </c>
      <c r="AL4" s="196">
        <v>7</v>
      </c>
      <c r="AM4" s="196">
        <v>8</v>
      </c>
      <c r="AN4" s="196">
        <v>9</v>
      </c>
      <c r="AO4" s="196">
        <v>10</v>
      </c>
      <c r="AP4" s="196">
        <v>11</v>
      </c>
      <c r="AQ4" s="196">
        <v>12</v>
      </c>
      <c r="AR4" s="196">
        <v>13</v>
      </c>
      <c r="AS4" s="196">
        <v>14</v>
      </c>
      <c r="AT4" s="196">
        <v>15</v>
      </c>
      <c r="AU4" s="196">
        <v>16</v>
      </c>
      <c r="AV4" s="196">
        <v>17</v>
      </c>
      <c r="AW4" s="196">
        <v>18</v>
      </c>
      <c r="AX4" s="196">
        <v>19</v>
      </c>
      <c r="AY4" s="196">
        <v>20</v>
      </c>
      <c r="AZ4" s="196">
        <v>21</v>
      </c>
      <c r="BA4" s="196">
        <v>22</v>
      </c>
      <c r="BB4" s="196">
        <v>23</v>
      </c>
      <c r="BC4" s="196">
        <v>24</v>
      </c>
      <c r="BD4" s="196">
        <v>25</v>
      </c>
      <c r="BE4" s="196">
        <v>26</v>
      </c>
      <c r="BF4" s="196">
        <v>27</v>
      </c>
      <c r="BG4" s="196">
        <v>28</v>
      </c>
      <c r="BH4" s="196">
        <v>29</v>
      </c>
      <c r="BI4" s="196">
        <v>30</v>
      </c>
      <c r="BJ4" s="196">
        <v>31</v>
      </c>
      <c r="BK4" s="196">
        <v>32</v>
      </c>
      <c r="BL4" s="196">
        <v>33</v>
      </c>
      <c r="BM4" s="196">
        <v>34</v>
      </c>
      <c r="BN4" s="196">
        <v>35</v>
      </c>
      <c r="BO4" s="196">
        <v>36</v>
      </c>
      <c r="BP4" s="196">
        <v>37</v>
      </c>
      <c r="BQ4" s="196">
        <v>38</v>
      </c>
      <c r="BR4" s="196">
        <v>39</v>
      </c>
      <c r="BS4" s="196">
        <v>40</v>
      </c>
      <c r="BT4" s="9"/>
      <c r="BU4" s="1"/>
      <c r="BV4" s="196" t="s">
        <v>31</v>
      </c>
      <c r="BW4" s="1"/>
      <c r="BX4" s="196" t="s">
        <v>116</v>
      </c>
      <c r="BY4" s="1"/>
    </row>
    <row r="5" spans="1:77" ht="7.5" customHeight="1" x14ac:dyDescent="0.15">
      <c r="A5" s="197"/>
      <c r="B5" s="198"/>
      <c r="C5" s="198"/>
      <c r="D5" s="198"/>
      <c r="E5" s="198"/>
      <c r="F5" s="199"/>
      <c r="G5" s="200"/>
      <c r="H5" s="201"/>
      <c r="I5" s="198"/>
      <c r="J5" s="202"/>
      <c r="K5" s="203"/>
      <c r="L5" s="204"/>
      <c r="M5" s="198"/>
      <c r="N5" s="203"/>
      <c r="O5" s="83"/>
      <c r="P5" s="205"/>
      <c r="Q5" s="206"/>
      <c r="R5" s="198"/>
      <c r="S5" s="198"/>
      <c r="T5" s="83"/>
      <c r="U5" s="83"/>
      <c r="V5" s="198"/>
      <c r="W5" s="198"/>
      <c r="X5" s="207"/>
      <c r="Y5" s="83"/>
      <c r="Z5" s="208"/>
      <c r="AA5" s="208"/>
      <c r="AB5" s="208"/>
      <c r="AC5" s="208"/>
      <c r="AD5" s="208"/>
      <c r="AE5" s="208"/>
      <c r="AF5" s="208"/>
      <c r="AG5" s="208"/>
      <c r="AH5" s="208"/>
      <c r="AI5" s="208"/>
      <c r="AJ5" s="208"/>
      <c r="AK5" s="208"/>
      <c r="AL5" s="208"/>
      <c r="AM5" s="208"/>
      <c r="AN5" s="208"/>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6"/>
      <c r="BW5" s="208"/>
      <c r="BX5" s="206"/>
      <c r="BY5" s="208"/>
    </row>
    <row r="6" spans="1:77" ht="15" x14ac:dyDescent="0.15">
      <c r="A6" s="209"/>
      <c r="B6" s="1065" t="s">
        <v>32</v>
      </c>
      <c r="C6" s="1049"/>
      <c r="D6" s="918"/>
      <c r="E6" s="918"/>
      <c r="F6" s="919"/>
      <c r="G6" s="920"/>
      <c r="H6" s="921"/>
      <c r="I6" s="918"/>
      <c r="J6" s="922"/>
      <c r="K6" s="923"/>
      <c r="L6" s="924"/>
      <c r="M6" s="918"/>
      <c r="N6" s="923"/>
      <c r="O6" s="924"/>
      <c r="P6" s="924"/>
      <c r="Q6" s="925"/>
      <c r="R6" s="918"/>
      <c r="S6" s="918"/>
      <c r="T6" s="926"/>
      <c r="U6" s="924"/>
      <c r="V6" s="918"/>
      <c r="W6" s="918"/>
      <c r="X6" s="927"/>
      <c r="Y6" s="924"/>
      <c r="Z6" s="926"/>
      <c r="AA6" s="926"/>
      <c r="AB6" s="926"/>
      <c r="AC6" s="926"/>
      <c r="AD6" s="926"/>
      <c r="AE6" s="926"/>
      <c r="AF6" s="926"/>
      <c r="AG6" s="926"/>
      <c r="AH6" s="926"/>
      <c r="AI6" s="926"/>
      <c r="AJ6" s="926"/>
      <c r="AK6" s="926"/>
      <c r="AL6" s="926"/>
      <c r="AM6" s="926"/>
      <c r="AN6" s="926"/>
      <c r="AO6" s="926"/>
      <c r="AP6" s="926"/>
      <c r="AQ6" s="926"/>
      <c r="AR6" s="926"/>
      <c r="AS6" s="926"/>
      <c r="AT6" s="926"/>
      <c r="AU6" s="926"/>
      <c r="AV6" s="926"/>
      <c r="AW6" s="926"/>
      <c r="AX6" s="926"/>
      <c r="AY6" s="926"/>
      <c r="AZ6" s="926"/>
      <c r="BA6" s="926"/>
      <c r="BB6" s="926"/>
      <c r="BC6" s="926"/>
      <c r="BD6" s="926"/>
      <c r="BE6" s="926"/>
      <c r="BF6" s="926"/>
      <c r="BG6" s="926"/>
      <c r="BH6" s="926"/>
      <c r="BI6" s="926"/>
      <c r="BJ6" s="926"/>
      <c r="BK6" s="926"/>
      <c r="BL6" s="926"/>
      <c r="BM6" s="926"/>
      <c r="BN6" s="926"/>
      <c r="BO6" s="926"/>
      <c r="BP6" s="926"/>
      <c r="BQ6" s="926"/>
      <c r="BR6" s="926"/>
      <c r="BS6" s="926"/>
      <c r="BT6" s="926"/>
      <c r="BU6" s="928"/>
      <c r="BV6" s="926"/>
      <c r="BW6" s="928"/>
      <c r="BX6" s="926"/>
      <c r="BY6" s="928"/>
    </row>
    <row r="7" spans="1:77" ht="48" x14ac:dyDescent="0.15">
      <c r="A7" s="14"/>
      <c r="B7" s="1066" t="str">
        <f t="shared" ref="B7:C7" si="1">B52</f>
        <v>Grassland / Sward / Seed mixes</v>
      </c>
      <c r="C7" s="210" t="str">
        <f t="shared" si="1"/>
        <v>Wildflower &amp; fine grass seeding</v>
      </c>
      <c r="D7" s="211"/>
      <c r="E7" s="16" t="str">
        <f ca="1">IFERROR(__xludf.DUMMYFUNCTION("ifna(JOIN(""; "", unique(FILTER(E$52:E$153,$CF$52:$CF$153=$C7,E$52:E$153&lt;&gt;""""))),"""")"),"All arable land")</f>
        <v>All arable land</v>
      </c>
      <c r="F7" s="17">
        <f>SUMIF($BV$52:$BV$151, $C7,F$52:F$151)</f>
        <v>61</v>
      </c>
      <c r="G7" s="17">
        <f>SUMIF($BV$52:$BV$151, $C7,G$52:G$151)</f>
        <v>0</v>
      </c>
      <c r="H7" s="18">
        <f>SUMIF($BV$52:$BV$151, $C7,H$52:H$151)</f>
        <v>0</v>
      </c>
      <c r="I7" s="16" t="str">
        <f ca="1">IFERROR(__xludf.DUMMYFUNCTION("ifna(JOIN(""; "", unique(FILTER(I$52:I$153,$CF$52:$CF$153=$C7,I$52:I$153&lt;&gt;""""))),"""")"),"EM3 or equivalent")</f>
        <v>EM3 or equivalent</v>
      </c>
      <c r="J7" s="19" t="str">
        <f ca="1">IFERROR(__xludf.DUMMYFUNCTION("ifna(JOIN(""; "", unique(FILTER(J$52:J$153,$CF$52:$CF$153=$C7,J$52:J$153&lt;&gt;""""))),"""")"),"Commercial supplier")</f>
        <v>Commercial supplier</v>
      </c>
      <c r="K7" s="20">
        <f>IFERROR((SUMIF($BV$52:$BV$151, $C7,L$52:L$151)/IF($H7&gt;0,$H7,SUM($F7:$G7))),"")</f>
        <v>2400</v>
      </c>
      <c r="L7" s="21">
        <f>SUMIF($BV$52:$BV$151, $C7,L$52:L$151)</f>
        <v>146400</v>
      </c>
      <c r="M7" s="16" t="str">
        <f ca="1">IFERROR(__xludf.DUMMYFUNCTION("ifna(JOIN(""; "", unique(FILTER(M$52:M$153,$CF$52:$CF$153=$C7,M$52:M$153&lt;&gt;""""))),"""")"),"Twice cultivation, sowing, rolling, Split over a few years to minimise risk.")</f>
        <v>Twice cultivation, sowing, rolling, Split over a few years to minimise risk.</v>
      </c>
      <c r="N7" s="20">
        <f>IFERROR((SUMIF($BV$52:$BV$151, $C7,O$52:O$151)/IF($H7&gt;0,$H7,SUM($F7:$G7))),"")</f>
        <v>800</v>
      </c>
      <c r="O7" s="21">
        <f>SUMIF($BV$52:$BV$151, $C7,O$52:O$151)</f>
        <v>48800</v>
      </c>
      <c r="P7" s="21">
        <f t="shared" ref="P7:P10" si="2">L7+O7</f>
        <v>195200</v>
      </c>
      <c r="Q7" s="212" t="str">
        <f ca="1">IFERROR(__xludf.DUMMYFUNCTION("ifna(JOIN(""; "", unique(FILTER(Q$52:Q$153,$CF$52:$CF$153=$C7,Q$52:Q$153&lt;&gt;""""))),"""")"),"-")</f>
        <v>-</v>
      </c>
      <c r="R7" s="16" t="str">
        <f ca="1">IFERROR(__xludf.DUMMYFUNCTION("ifna(JOIN(""; "", unique(FILTER(R$52:R$153,$CF$52:$CF$153=$C7,R$52:R$153&lt;&gt;""""))),"""")"),"Topping, Mulching mower")</f>
        <v>Topping, Mulching mower</v>
      </c>
      <c r="S7" s="16" t="str">
        <f ca="1">IFERROR(__xludf.DUMMYFUNCTION("ifna(JOIN(""; "", unique(FILTER(S$52:S$153,$CF$52:$CF$153=$C7,S$52:S$153&lt;&gt;""""))),"""")"),"3")</f>
        <v>3</v>
      </c>
      <c r="T7" s="20">
        <f>IFERROR((SUMIF($BV$52:$BV$151, $C7,U$52:U$151)/IF($H7&gt;0,$H7,SUM($F7:$G7))),"")</f>
        <v>225</v>
      </c>
      <c r="U7" s="21">
        <f>SUMIF($BV$52:$BV$151, $C7,U$52:U$151)</f>
        <v>13725</v>
      </c>
      <c r="V7" s="16" t="str">
        <f ca="1">IFERROR(__xludf.DUMMYFUNCTION("ifna(JOIN(""; "", unique(FILTER(V$52:V$153,$CF$52:$CF$153=$C7,V$52:V$153&lt;&gt;""""))),"""")"),"Hay cut; Assume not collecting until can cost it properly")</f>
        <v>Hay cut; Assume not collecting until can cost it properly</v>
      </c>
      <c r="W7" s="16" t="str">
        <f ca="1">IFERROR(__xludf.DUMMYFUNCTION("ifna(JOIN(""; "", unique(FILTER(W$52:W$153,$CF$52:$CF$153=$C7,W$52:W$153&lt;&gt;""""))),"""")"),"1")</f>
        <v>1</v>
      </c>
      <c r="X7" s="213">
        <f>IFERROR((SUMIF($BV$52:$BV$151, $C7,Y$52:Y$151)/IF($H7&gt;0,$H7,SUM($F7:$G7))),"")</f>
        <v>200</v>
      </c>
      <c r="Y7" s="22">
        <f>SUMIF($BV$52:$BV$151, $C7,Y$52:Y$151)</f>
        <v>12200</v>
      </c>
      <c r="Z7" s="2"/>
      <c r="AA7" s="154">
        <f>SUMIF($BV$52:$BV$151, $C7,AA$52:AA$151)</f>
        <v>427461.6098491571</v>
      </c>
      <c r="AB7" s="2"/>
      <c r="AC7" s="214"/>
      <c r="AD7" s="214"/>
      <c r="AE7" s="154">
        <f>SUMIF($BV$52:$BV$151, $C7,AE$52:AE$151)</f>
        <v>195200</v>
      </c>
      <c r="AF7" s="154">
        <f>SUMIF($BV$52:$BV$151, $C7,AF$52:AF$151)</f>
        <v>14068.124999999998</v>
      </c>
      <c r="AG7" s="154">
        <f>SUMIF($BV$52:$BV$151, $C7,AG$52:AG$151)</f>
        <v>14419.828124999998</v>
      </c>
      <c r="AH7" s="154">
        <f>SUMIF($BV$52:$BV$151, $C7,AH$52:AH$151)</f>
        <v>14780.323828124998</v>
      </c>
      <c r="AI7" s="154">
        <f>SUMIF($BV$52:$BV$151, $C7,AI$52:AI$151)</f>
        <v>13466.517265624998</v>
      </c>
      <c r="AJ7" s="154">
        <f>SUMIF($BV$52:$BV$151, $C7,AJ$52:AJ$151)</f>
        <v>13803.180197265621</v>
      </c>
      <c r="AK7" s="154">
        <f>SUMIF($BV$52:$BV$151, $C7,AK$52:AK$151)</f>
        <v>14148.25970219726</v>
      </c>
      <c r="AL7" s="154">
        <f>SUMIF($BV$52:$BV$151, $C7,AL$52:AL$151)</f>
        <v>14501.966194752193</v>
      </c>
      <c r="AM7" s="154">
        <f>SUMIF($BV$52:$BV$151, $C7,AM$52:AM$151)</f>
        <v>14864.515349620997</v>
      </c>
      <c r="AN7" s="154">
        <f>SUMIF($BV$52:$BV$151, $C7,AN$52:AN$151)</f>
        <v>15236.128233361518</v>
      </c>
      <c r="AO7" s="154">
        <f>SUMIF($BV$52:$BV$151, $C7,AO$52:AO$151)</f>
        <v>15617.031439195556</v>
      </c>
      <c r="AP7" s="154">
        <f>SUMIF($BV$52:$BV$151, $C7,AP$52:AP$151)</f>
        <v>16007.457225175445</v>
      </c>
      <c r="AQ7" s="154">
        <f>SUMIF($BV$52:$BV$151, $C7,AQ$52:AQ$151)</f>
        <v>16407.64365580483</v>
      </c>
      <c r="AR7" s="154">
        <f>SUMIF($BV$52:$BV$151, $C7,AR$52:AR$151)</f>
        <v>16817.834747199951</v>
      </c>
      <c r="AS7" s="154">
        <f>SUMIF($BV$52:$BV$151, $C7,AS$52:AS$151)</f>
        <v>17238.280615879947</v>
      </c>
      <c r="AT7" s="154">
        <f>SUMIF($BV$52:$BV$151, $C7,AT$52:AT$151)</f>
        <v>17669.237631276948</v>
      </c>
      <c r="AU7" s="154">
        <f>SUMIF($BV$52:$BV$151, $C7,AU$52:AU$151)</f>
        <v>18110.968572058871</v>
      </c>
      <c r="AV7" s="154">
        <f>SUMIF($BV$52:$BV$151, $C7,AV$52:AV$151)</f>
        <v>18563.742786360341</v>
      </c>
      <c r="AW7" s="154">
        <f>SUMIF($BV$52:$BV$151, $C7,AW$52:AW$151)</f>
        <v>19027.83635601935</v>
      </c>
      <c r="AX7" s="154">
        <f>SUMIF($BV$52:$BV$151, $C7,AX$52:AX$151)</f>
        <v>19503.532264919832</v>
      </c>
      <c r="AY7" s="154">
        <f>SUMIF($BV$52:$BV$151, $C7,AY$52:AY$151)</f>
        <v>19991.120571542826</v>
      </c>
      <c r="AZ7" s="154">
        <f>SUMIF($BV$52:$BV$151, $C7,AZ$52:AZ$151)</f>
        <v>20490.898585831394</v>
      </c>
      <c r="BA7" s="154">
        <f>SUMIF($BV$52:$BV$151, $C7,BA$52:BA$151)</f>
        <v>21003.17105047718</v>
      </c>
      <c r="BB7" s="154">
        <f>SUMIF($BV$52:$BV$151, $C7,BB$52:BB$151)</f>
        <v>21528.250326739108</v>
      </c>
      <c r="BC7" s="154">
        <f>SUMIF($BV$52:$BV$151, $C7,BC$52:BC$151)</f>
        <v>22066.456584907584</v>
      </c>
      <c r="BD7" s="154">
        <f>SUMIF($BV$52:$BV$151, $C7,BD$52:BD$151)</f>
        <v>22618.11799953027</v>
      </c>
      <c r="BE7" s="154">
        <f>SUMIF($BV$52:$BV$151, $C7,BE$52:BE$151)</f>
        <v>23183.570949518526</v>
      </c>
      <c r="BF7" s="154">
        <f>SUMIF($BV$52:$BV$151, $C7,BF$52:BF$151)</f>
        <v>23763.160223256487</v>
      </c>
      <c r="BG7" s="154">
        <f>SUMIF($BV$52:$BV$151, $C7,BG$52:BG$151)</f>
        <v>24357.239228837898</v>
      </c>
      <c r="BH7" s="154">
        <f>SUMIF($BV$52:$BV$151, $C7,BH$52:BH$151)</f>
        <v>24966.170209558848</v>
      </c>
      <c r="BI7" s="154">
        <f>SUMIF($BV$52:$BV$151, $C7,BI$52:BI$151)</f>
        <v>25590.324464797814</v>
      </c>
      <c r="BJ7" s="154">
        <f>SUMIF($BV$52:$BV$151, $C7,BJ$52:BJ$151)</f>
        <v>26230.082576417768</v>
      </c>
      <c r="BK7" s="154">
        <f>SUMIF($BV$52:$BV$151, $C7,BK$52:BK$151)</f>
        <v>26885.834640828205</v>
      </c>
      <c r="BL7" s="154">
        <f>SUMIF($BV$52:$BV$151, $C7,BL$52:BL$151)</f>
        <v>27557.980506848908</v>
      </c>
      <c r="BM7" s="154">
        <f>SUMIF($BV$52:$BV$151, $C7,BM$52:BM$151)</f>
        <v>28246.930019520132</v>
      </c>
      <c r="BN7" s="154">
        <f>SUMIF($BV$52:$BV$151, $C7,BN$52:BN$151)</f>
        <v>28953.10327000813</v>
      </c>
      <c r="BO7" s="154">
        <f>SUMIF($BV$52:$BV$151, $C7,BO$52:BO$151)</f>
        <v>29676.930851758338</v>
      </c>
      <c r="BP7" s="154">
        <f>SUMIF($BV$52:$BV$151, $C7,BP$52:BP$151)</f>
        <v>30418.85412305229</v>
      </c>
      <c r="BQ7" s="154">
        <f>SUMIF($BV$52:$BV$151, $C7,BQ$52:BQ$151)</f>
        <v>31179.32547612859</v>
      </c>
      <c r="BR7" s="154">
        <f>SUMIF($BV$52:$BV$151, $C7,BR$52:BR$151)</f>
        <v>31958.808613031808</v>
      </c>
      <c r="BS7" s="154">
        <f>SUMIF($BV$52:$BV$151, $C7,BS$52:BS$151)</f>
        <v>32757.778828357601</v>
      </c>
      <c r="BT7" s="215"/>
      <c r="BU7" s="216"/>
      <c r="BV7" s="23"/>
      <c r="BW7" s="1"/>
      <c r="BX7" s="23"/>
      <c r="BY7" s="1"/>
    </row>
    <row r="8" spans="1:77" ht="32" x14ac:dyDescent="0.15">
      <c r="A8" s="14"/>
      <c r="B8" s="1067"/>
      <c r="C8" s="25" t="str">
        <f t="shared" ref="C8:C12" si="3">C54</f>
        <v>Grazing pasture</v>
      </c>
      <c r="D8" s="217"/>
      <c r="E8" s="26"/>
      <c r="F8" s="24">
        <f>SUMIF($BV$52:$BV$151, $C8,F$52:F$151)</f>
        <v>0</v>
      </c>
      <c r="G8" s="24">
        <f>SUMIF($BV$52:$BV$151, $C8,G$52:G$151)</f>
        <v>0</v>
      </c>
      <c r="H8" s="27">
        <f>SUMIF($BV$52:$BV$151, $C8,H$52:H$151)</f>
        <v>0</v>
      </c>
      <c r="I8" s="28" t="str">
        <f ca="1">IFERROR(__xludf.DUMMYFUNCTION("ifna(JOIN(""; "", unique(FILTER(I$52:I$153,$CF$52:$CF$153=$C8,I$52:I$153&lt;&gt;""""))),"""")"),"")</f>
        <v/>
      </c>
      <c r="J8" s="29" t="str">
        <f ca="1">IFERROR(__xludf.DUMMYFUNCTION("ifna(JOIN(""; "", unique(FILTER(J$52:J$153,$CF$52:$CF$153=$C8,J$52:J$153&lt;&gt;""""))),"""")"),"")</f>
        <v/>
      </c>
      <c r="K8" s="30" t="str">
        <f>IFERROR((SUMIF($BV$52:$BV$151, $C8,L$52:L$151)/IF($H8&gt;0,$H8,SUM($F8:$G8))),"")</f>
        <v/>
      </c>
      <c r="L8" s="31">
        <f>SUMIF($BV$52:$BV$151, $C8,L$52:L$151)</f>
        <v>0</v>
      </c>
      <c r="M8" s="28" t="str">
        <f ca="1">IFERROR(__xludf.DUMMYFUNCTION("ifna(JOIN(""; "", unique(FILTER(M$52:M$153,$CF$52:$CF$153=$C8,M$52:M$153&lt;&gt;""""))),"""")"),"Twice cultivation, sowing, rolling")</f>
        <v>Twice cultivation, sowing, rolling</v>
      </c>
      <c r="N8" s="30" t="str">
        <f>IFERROR((SUMIF($BV$52:$BV$151, $C8,O$52:O$151)/IF($H8&gt;0,$H8,SUM($F8:$G8))),"")</f>
        <v/>
      </c>
      <c r="O8" s="31">
        <f>SUMIF($BV$52:$BV$151, $C8,O$52:O$151)</f>
        <v>0</v>
      </c>
      <c r="P8" s="31">
        <f t="shared" si="2"/>
        <v>0</v>
      </c>
      <c r="Q8" s="218" t="str">
        <f ca="1">IFERROR(__xludf.DUMMYFUNCTION("ifna(JOIN(""; "", unique(FILTER(Q$52:Q$153,$CF$52:$CF$153=$C8,Q$52:Q$153&lt;&gt;""""))),"""")"),"-")</f>
        <v>-</v>
      </c>
      <c r="R8" s="28" t="str">
        <f ca="1">IFERROR(__xludf.DUMMYFUNCTION("ifna(JOIN(""; "", unique(FILTER(R$52:R$153,$CF$52:$CF$153=$C8,R$52:R$153&lt;&gt;""""))),"""")"),"Topping, Mulching mower")</f>
        <v>Topping, Mulching mower</v>
      </c>
      <c r="S8" s="28" t="str">
        <f ca="1">IFERROR(__xludf.DUMMYFUNCTION("ifna(JOIN(""; "", unique(FILTER(S$52:S$153,$CF$52:$CF$153=$C8,S$52:S$153&lt;&gt;""""))),"""")"),"3")</f>
        <v>3</v>
      </c>
      <c r="T8" s="30" t="str">
        <f>IFERROR((SUMIF($BV$52:$BV$151, $C8,U$52:U$151)/IF($H8&gt;0,$H8,SUM($F8:$G8))),"")</f>
        <v/>
      </c>
      <c r="U8" s="31">
        <f>SUMIF($BV$52:$BV$151, $C8,U$52:U$151)</f>
        <v>0</v>
      </c>
      <c r="V8" s="28" t="str">
        <f ca="1">IFERROR(__xludf.DUMMYFUNCTION("ifna(JOIN(""; "", unique(FILTER(V$52:V$153,$CF$52:$CF$153=$C8,V$52:V$153&lt;&gt;""""))),"""")"),"Assume cost neutral through grazing")</f>
        <v>Assume cost neutral through grazing</v>
      </c>
      <c r="W8" s="28" t="str">
        <f ca="1">IFERROR(__xludf.DUMMYFUNCTION("ifna(JOIN(""; "", unique(FILTER(W$52:W$153,$CF$52:$CF$153=$C8,W$52:W$153&lt;&gt;""""))),"""")"),"0")</f>
        <v>0</v>
      </c>
      <c r="X8" s="219" t="str">
        <f>IFERROR((SUMIF($BV$52:$BV$151, $C8,Y$52:Y$151)/IF($H8&gt;0,$H8,SUM($F8:$G8))),"")</f>
        <v/>
      </c>
      <c r="Y8" s="33">
        <f>SUMIF($BV$52:$BV$151, $C8,Y$52:Y$151)</f>
        <v>0</v>
      </c>
      <c r="Z8" s="1"/>
      <c r="AA8" s="154">
        <f>SUMIF($BV$52:$BV$151, $C8,AA$52:AA$151)</f>
        <v>0</v>
      </c>
      <c r="AB8" s="1"/>
      <c r="AC8" s="214"/>
      <c r="AD8" s="214"/>
      <c r="AE8" s="154">
        <f>SUMIF($BV$52:$BV$151, $C8,AE$52:AE$151)</f>
        <v>0</v>
      </c>
      <c r="AF8" s="154">
        <f>SUMIF($BV$52:$BV$151, $C8,AF$52:AF$151)</f>
        <v>0</v>
      </c>
      <c r="AG8" s="154">
        <f>SUMIF($BV$52:$BV$151, $C8,AG$52:AG$151)</f>
        <v>0</v>
      </c>
      <c r="AH8" s="154">
        <f>SUMIF($BV$52:$BV$151, $C8,AH$52:AH$151)</f>
        <v>0</v>
      </c>
      <c r="AI8" s="154">
        <f>SUMIF($BV$52:$BV$151, $C8,AI$52:AI$151)</f>
        <v>0</v>
      </c>
      <c r="AJ8" s="154">
        <f>SUMIF($BV$52:$BV$151, $C8,AJ$52:AJ$151)</f>
        <v>0</v>
      </c>
      <c r="AK8" s="154">
        <f>SUMIF($BV$52:$BV$151, $C8,AK$52:AK$151)</f>
        <v>0</v>
      </c>
      <c r="AL8" s="154">
        <f>SUMIF($BV$52:$BV$151, $C8,AL$52:AL$151)</f>
        <v>0</v>
      </c>
      <c r="AM8" s="154">
        <f>SUMIF($BV$52:$BV$151, $C8,AM$52:AM$151)</f>
        <v>0</v>
      </c>
      <c r="AN8" s="154">
        <f>SUMIF($BV$52:$BV$151, $C8,AN$52:AN$151)</f>
        <v>0</v>
      </c>
      <c r="AO8" s="154">
        <f>SUMIF($BV$52:$BV$151, $C8,AO$52:AO$151)</f>
        <v>0</v>
      </c>
      <c r="AP8" s="154">
        <f>SUMIF($BV$52:$BV$151, $C8,AP$52:AP$151)</f>
        <v>0</v>
      </c>
      <c r="AQ8" s="154">
        <f>SUMIF($BV$52:$BV$151, $C8,AQ$52:AQ$151)</f>
        <v>0</v>
      </c>
      <c r="AR8" s="154">
        <f>SUMIF($BV$52:$BV$151, $C8,AR$52:AR$151)</f>
        <v>0</v>
      </c>
      <c r="AS8" s="154">
        <f>SUMIF($BV$52:$BV$151, $C8,AS$52:AS$151)</f>
        <v>0</v>
      </c>
      <c r="AT8" s="154">
        <f>SUMIF($BV$52:$BV$151, $C8,AT$52:AT$151)</f>
        <v>0</v>
      </c>
      <c r="AU8" s="154">
        <f>SUMIF($BV$52:$BV$151, $C8,AU$52:AU$151)</f>
        <v>0</v>
      </c>
      <c r="AV8" s="154">
        <f>SUMIF($BV$52:$BV$151, $C8,AV$52:AV$151)</f>
        <v>0</v>
      </c>
      <c r="AW8" s="154">
        <f>SUMIF($BV$52:$BV$151, $C8,AW$52:AW$151)</f>
        <v>0</v>
      </c>
      <c r="AX8" s="154">
        <f>SUMIF($BV$52:$BV$151, $C8,AX$52:AX$151)</f>
        <v>0</v>
      </c>
      <c r="AY8" s="154">
        <f>SUMIF($BV$52:$BV$151, $C8,AY$52:AY$151)</f>
        <v>0</v>
      </c>
      <c r="AZ8" s="154">
        <f>SUMIF($BV$52:$BV$151, $C8,AZ$52:AZ$151)</f>
        <v>0</v>
      </c>
      <c r="BA8" s="154">
        <f>SUMIF($BV$52:$BV$151, $C8,BA$52:BA$151)</f>
        <v>0</v>
      </c>
      <c r="BB8" s="154">
        <f>SUMIF($BV$52:$BV$151, $C8,BB$52:BB$151)</f>
        <v>0</v>
      </c>
      <c r="BC8" s="154">
        <f>SUMIF($BV$52:$BV$151, $C8,BC$52:BC$151)</f>
        <v>0</v>
      </c>
      <c r="BD8" s="154">
        <f>SUMIF($BV$52:$BV$151, $C8,BD$52:BD$151)</f>
        <v>0</v>
      </c>
      <c r="BE8" s="154">
        <f>SUMIF($BV$52:$BV$151, $C8,BE$52:BE$151)</f>
        <v>0</v>
      </c>
      <c r="BF8" s="154">
        <f>SUMIF($BV$52:$BV$151, $C8,BF$52:BF$151)</f>
        <v>0</v>
      </c>
      <c r="BG8" s="154">
        <f>SUMIF($BV$52:$BV$151, $C8,BG$52:BG$151)</f>
        <v>0</v>
      </c>
      <c r="BH8" s="154">
        <f>SUMIF($BV$52:$BV$151, $C8,BH$52:BH$151)</f>
        <v>0</v>
      </c>
      <c r="BI8" s="154">
        <f>SUMIF($BV$52:$BV$151, $C8,BI$52:BI$151)</f>
        <v>0</v>
      </c>
      <c r="BJ8" s="154">
        <f>SUMIF($BV$52:$BV$151, $C8,BJ$52:BJ$151)</f>
        <v>0</v>
      </c>
      <c r="BK8" s="154">
        <f>SUMIF($BV$52:$BV$151, $C8,BK$52:BK$151)</f>
        <v>0</v>
      </c>
      <c r="BL8" s="154">
        <f>SUMIF($BV$52:$BV$151, $C8,BL$52:BL$151)</f>
        <v>0</v>
      </c>
      <c r="BM8" s="154">
        <f>SUMIF($BV$52:$BV$151, $C8,BM$52:BM$151)</f>
        <v>0</v>
      </c>
      <c r="BN8" s="154">
        <f>SUMIF($BV$52:$BV$151, $C8,BN$52:BN$151)</f>
        <v>0</v>
      </c>
      <c r="BO8" s="154">
        <f>SUMIF($BV$52:$BV$151, $C8,BO$52:BO$151)</f>
        <v>0</v>
      </c>
      <c r="BP8" s="154">
        <f>SUMIF($BV$52:$BV$151, $C8,BP$52:BP$151)</f>
        <v>0</v>
      </c>
      <c r="BQ8" s="154">
        <f>SUMIF($BV$52:$BV$151, $C8,BQ$52:BQ$151)</f>
        <v>0</v>
      </c>
      <c r="BR8" s="154">
        <f>SUMIF($BV$52:$BV$151, $C8,BR$52:BR$151)</f>
        <v>0</v>
      </c>
      <c r="BS8" s="154">
        <f>SUMIF($BV$52:$BV$151, $C8,BS$52:BS$151)</f>
        <v>0</v>
      </c>
      <c r="BT8" s="1"/>
      <c r="BU8" s="1"/>
      <c r="BV8" s="23"/>
      <c r="BW8" s="1"/>
      <c r="BX8" s="23"/>
      <c r="BY8" s="1"/>
    </row>
    <row r="9" spans="1:77" ht="16" x14ac:dyDescent="0.15">
      <c r="A9" s="14"/>
      <c r="B9" s="1067"/>
      <c r="C9" s="34" t="str">
        <f t="shared" si="3"/>
        <v>Wild Bird Seed mixes</v>
      </c>
      <c r="D9" s="220"/>
      <c r="E9" s="28" t="str">
        <f ca="1">IFERROR(__xludf.DUMMYFUNCTION("ifna(JOIN(""; "", unique(FILTER(E$52:E$153,$CF$52:$CF$153=$C9,E$52:E$153&lt;&gt;""""))),"""")"),"")</f>
        <v/>
      </c>
      <c r="F9" s="24">
        <f>SUMIF($BV$52:$BV$151, $C9,F$52:F$151)</f>
        <v>0</v>
      </c>
      <c r="G9" s="24">
        <f>SUMIF($BV$52:$BV$151, $C9,G$52:G$151)</f>
        <v>0</v>
      </c>
      <c r="H9" s="27">
        <f>SUMIF($BV$52:$BV$151, $C9,H$52:H$151)</f>
        <v>0</v>
      </c>
      <c r="I9" s="28" t="str">
        <f ca="1">IFERROR(__xludf.DUMMYFUNCTION("ifna(JOIN(""; "", unique(FILTER(I$52:I$153,$CF$52:$CF$153=$C9,I$52:I$153&lt;&gt;""""))),"""")"),"")</f>
        <v/>
      </c>
      <c r="J9" s="29" t="str">
        <f ca="1">IFERROR(__xludf.DUMMYFUNCTION("ifna(JOIN(""; "", unique(FILTER(J$52:J$153,$CF$52:$CF$153=$C9,J$52:J$153&lt;&gt;""""))),"""")"),"")</f>
        <v/>
      </c>
      <c r="K9" s="30" t="str">
        <f>IFERROR((SUMIF($BV$52:$BV$151, $C9,L$52:L$151)/IF($H9&gt;0,$H9,SUM($F9:$G9))),"")</f>
        <v/>
      </c>
      <c r="L9" s="31">
        <f>SUMIF($BV$52:$BV$151, $C9,L$52:L$151)</f>
        <v>0</v>
      </c>
      <c r="M9" s="28" t="str">
        <f ca="1">IFERROR(__xludf.DUMMYFUNCTION("ifna(JOIN(""; "", unique(FILTER(M$52:M$153,$CF$52:$CF$153=$C9,M$52:M$153&lt;&gt;""""))),"""")"),"")</f>
        <v/>
      </c>
      <c r="N9" s="30" t="str">
        <f>IFERROR((SUMIF($BV$52:$BV$151, $C9,O$52:O$151)/IF($H9&gt;0,$H9,SUM($F9:$G9))),"")</f>
        <v/>
      </c>
      <c r="O9" s="31">
        <f>SUMIF($BV$52:$BV$151, $C9,O$52:O$151)</f>
        <v>0</v>
      </c>
      <c r="P9" s="31">
        <f t="shared" si="2"/>
        <v>0</v>
      </c>
      <c r="Q9" s="218" t="str">
        <f ca="1">IFERROR(__xludf.DUMMYFUNCTION("ifna(JOIN(""; "", unique(FILTER(Q$52:Q$153,$CF$52:$CF$153=$C9,Q$52:Q$153&lt;&gt;""""))),"""")"),"-")</f>
        <v>-</v>
      </c>
      <c r="R9" s="28" t="str">
        <f ca="1">IFERROR(__xludf.DUMMYFUNCTION("ifna(JOIN(""; "", unique(FILTER(R$52:R$153,$CF$52:$CF$153=$C9,R$52:R$153&lt;&gt;""""))),"""")"),"Resow annually")</f>
        <v>Resow annually</v>
      </c>
      <c r="S9" s="28" t="str">
        <f ca="1">IFERROR(__xludf.DUMMYFUNCTION("ifna(JOIN(""; "", unique(FILTER(S$52:S$153,$CF$52:$CF$153=$C9,S$52:S$153&lt;&gt;""""))),"""")"),"1")</f>
        <v>1</v>
      </c>
      <c r="T9" s="30" t="str">
        <f>IFERROR((SUMIF($BV$52:$BV$151, $C9,U$52:U$151)/IF($H9&gt;0,$H9,SUM($F9:$G9))),"")</f>
        <v/>
      </c>
      <c r="U9" s="31">
        <f>SUMIF($BV$52:$BV$151, $C9,U$52:U$151)</f>
        <v>0</v>
      </c>
      <c r="V9" s="28" t="str">
        <f ca="1">IFERROR(__xludf.DUMMYFUNCTION("ifna(JOIN(""; "", unique(FILTER(V$52:V$153,$CF$52:$CF$153=$C9,V$52:V$153&lt;&gt;""""))),"""")"),"Resow annually")</f>
        <v>Resow annually</v>
      </c>
      <c r="W9" s="28" t="str">
        <f ca="1">IFERROR(__xludf.DUMMYFUNCTION("ifna(JOIN(""; "", unique(FILTER(W$52:W$153,$CF$52:$CF$153=$C9,W$52:W$153&lt;&gt;""""))),"""")"),"1")</f>
        <v>1</v>
      </c>
      <c r="X9" s="219" t="str">
        <f>IFERROR((SUMIF($BV$52:$BV$151, $C9,Y$52:Y$151)/IF($H9&gt;0,$H9,SUM($F9:$G9))),"")</f>
        <v/>
      </c>
      <c r="Y9" s="33">
        <f>SUMIF($BV$52:$BV$151, $C9,Y$52:Y$151)</f>
        <v>0</v>
      </c>
      <c r="Z9" s="1"/>
      <c r="AA9" s="154">
        <f>SUMIF($BV$52:$BV$151, $C9,AA$52:AA$151)</f>
        <v>0</v>
      </c>
      <c r="AB9" s="1"/>
      <c r="AC9" s="214"/>
      <c r="AD9" s="214"/>
      <c r="AE9" s="154">
        <f>SUMIF($BV$52:$BV$151, $C9,AE$52:AE$151)</f>
        <v>0</v>
      </c>
      <c r="AF9" s="154">
        <f>SUMIF($BV$52:$BV$151, $C9,AF$52:AF$151)</f>
        <v>0</v>
      </c>
      <c r="AG9" s="154">
        <f>SUMIF($BV$52:$BV$151, $C9,AG$52:AG$151)</f>
        <v>0</v>
      </c>
      <c r="AH9" s="154">
        <f>SUMIF($BV$52:$BV$151, $C9,AH$52:AH$151)</f>
        <v>0</v>
      </c>
      <c r="AI9" s="154">
        <f>SUMIF($BV$52:$BV$151, $C9,AI$52:AI$151)</f>
        <v>0</v>
      </c>
      <c r="AJ9" s="154">
        <f>SUMIF($BV$52:$BV$151, $C9,AJ$52:AJ$151)</f>
        <v>0</v>
      </c>
      <c r="AK9" s="154">
        <f>SUMIF($BV$52:$BV$151, $C9,AK$52:AK$151)</f>
        <v>0</v>
      </c>
      <c r="AL9" s="154">
        <f>SUMIF($BV$52:$BV$151, $C9,AL$52:AL$151)</f>
        <v>0</v>
      </c>
      <c r="AM9" s="154">
        <f>SUMIF($BV$52:$BV$151, $C9,AM$52:AM$151)</f>
        <v>0</v>
      </c>
      <c r="AN9" s="154">
        <f>SUMIF($BV$52:$BV$151, $C9,AN$52:AN$151)</f>
        <v>0</v>
      </c>
      <c r="AO9" s="154">
        <f>SUMIF($BV$52:$BV$151, $C9,AO$52:AO$151)</f>
        <v>0</v>
      </c>
      <c r="AP9" s="154">
        <f>SUMIF($BV$52:$BV$151, $C9,AP$52:AP$151)</f>
        <v>0</v>
      </c>
      <c r="AQ9" s="154">
        <f>SUMIF($BV$52:$BV$151, $C9,AQ$52:AQ$151)</f>
        <v>0</v>
      </c>
      <c r="AR9" s="154">
        <f>SUMIF($BV$52:$BV$151, $C9,AR$52:AR$151)</f>
        <v>0</v>
      </c>
      <c r="AS9" s="154">
        <f>SUMIF($BV$52:$BV$151, $C9,AS$52:AS$151)</f>
        <v>0</v>
      </c>
      <c r="AT9" s="154">
        <f>SUMIF($BV$52:$BV$151, $C9,AT$52:AT$151)</f>
        <v>0</v>
      </c>
      <c r="AU9" s="154">
        <f>SUMIF($BV$52:$BV$151, $C9,AU$52:AU$151)</f>
        <v>0</v>
      </c>
      <c r="AV9" s="154">
        <f>SUMIF($BV$52:$BV$151, $C9,AV$52:AV$151)</f>
        <v>0</v>
      </c>
      <c r="AW9" s="154">
        <f>SUMIF($BV$52:$BV$151, $C9,AW$52:AW$151)</f>
        <v>0</v>
      </c>
      <c r="AX9" s="154">
        <f>SUMIF($BV$52:$BV$151, $C9,AX$52:AX$151)</f>
        <v>0</v>
      </c>
      <c r="AY9" s="154">
        <f>SUMIF($BV$52:$BV$151, $C9,AY$52:AY$151)</f>
        <v>0</v>
      </c>
      <c r="AZ9" s="154">
        <f>SUMIF($BV$52:$BV$151, $C9,AZ$52:AZ$151)</f>
        <v>0</v>
      </c>
      <c r="BA9" s="154">
        <f>SUMIF($BV$52:$BV$151, $C9,BA$52:BA$151)</f>
        <v>0</v>
      </c>
      <c r="BB9" s="154">
        <f>SUMIF($BV$52:$BV$151, $C9,BB$52:BB$151)</f>
        <v>0</v>
      </c>
      <c r="BC9" s="154">
        <f>SUMIF($BV$52:$BV$151, $C9,BC$52:BC$151)</f>
        <v>0</v>
      </c>
      <c r="BD9" s="154">
        <f>SUMIF($BV$52:$BV$151, $C9,BD$52:BD$151)</f>
        <v>0</v>
      </c>
      <c r="BE9" s="154">
        <f>SUMIF($BV$52:$BV$151, $C9,BE$52:BE$151)</f>
        <v>0</v>
      </c>
      <c r="BF9" s="154">
        <f>SUMIF($BV$52:$BV$151, $C9,BF$52:BF$151)</f>
        <v>0</v>
      </c>
      <c r="BG9" s="154">
        <f>SUMIF($BV$52:$BV$151, $C9,BG$52:BG$151)</f>
        <v>0</v>
      </c>
      <c r="BH9" s="154">
        <f>SUMIF($BV$52:$BV$151, $C9,BH$52:BH$151)</f>
        <v>0</v>
      </c>
      <c r="BI9" s="154">
        <f>SUMIF($BV$52:$BV$151, $C9,BI$52:BI$151)</f>
        <v>0</v>
      </c>
      <c r="BJ9" s="154">
        <f>SUMIF($BV$52:$BV$151, $C9,BJ$52:BJ$151)</f>
        <v>0</v>
      </c>
      <c r="BK9" s="154">
        <f>SUMIF($BV$52:$BV$151, $C9,BK$52:BK$151)</f>
        <v>0</v>
      </c>
      <c r="BL9" s="154">
        <f>SUMIF($BV$52:$BV$151, $C9,BL$52:BL$151)</f>
        <v>0</v>
      </c>
      <c r="BM9" s="154">
        <f>SUMIF($BV$52:$BV$151, $C9,BM$52:BM$151)</f>
        <v>0</v>
      </c>
      <c r="BN9" s="154">
        <f>SUMIF($BV$52:$BV$151, $C9,BN$52:BN$151)</f>
        <v>0</v>
      </c>
      <c r="BO9" s="154">
        <f>SUMIF($BV$52:$BV$151, $C9,BO$52:BO$151)</f>
        <v>0</v>
      </c>
      <c r="BP9" s="154">
        <f>SUMIF($BV$52:$BV$151, $C9,BP$52:BP$151)</f>
        <v>0</v>
      </c>
      <c r="BQ9" s="154">
        <f>SUMIF($BV$52:$BV$151, $C9,BQ$52:BQ$151)</f>
        <v>0</v>
      </c>
      <c r="BR9" s="154">
        <f>SUMIF($BV$52:$BV$151, $C9,BR$52:BR$151)</f>
        <v>0</v>
      </c>
      <c r="BS9" s="154">
        <f>SUMIF($BV$52:$BV$151, $C9,BS$52:BS$151)</f>
        <v>0</v>
      </c>
      <c r="BT9" s="1"/>
      <c r="BU9" s="1"/>
      <c r="BV9" s="23"/>
      <c r="BW9" s="1"/>
      <c r="BX9" s="23"/>
      <c r="BY9" s="1"/>
    </row>
    <row r="10" spans="1:77" ht="48" x14ac:dyDescent="0.15">
      <c r="A10" s="14"/>
      <c r="B10" s="1067"/>
      <c r="C10" s="34" t="str">
        <f t="shared" si="3"/>
        <v>Arable weed/plant area</v>
      </c>
      <c r="D10" s="220"/>
      <c r="E10" s="28" t="str">
        <f ca="1">IFERROR(__xludf.DUMMYFUNCTION("ifna(JOIN(""; "", unique(FILTER(E$52:E$153,$CF$52:$CF$153=$C10,E$52:E$153&lt;&gt;""""))),"""")"),"")</f>
        <v/>
      </c>
      <c r="F10" s="24">
        <f>SUMIF($BV$52:$BV$151, $C10,F$52:F$151)</f>
        <v>0</v>
      </c>
      <c r="G10" s="24">
        <f>SUMIF($BV$52:$BV$151, $C10,G$52:G$151)</f>
        <v>0</v>
      </c>
      <c r="H10" s="27">
        <f>SUMIF($BV$52:$BV$151, $C10,H$52:H$151)</f>
        <v>0</v>
      </c>
      <c r="I10" s="28" t="str">
        <f ca="1">IFERROR(__xludf.DUMMYFUNCTION("ifna(JOIN(""; "", unique(FILTER(I$52:I$153,$CF$52:$CF$153=$C10,I$52:I$153&lt;&gt;""""))),"""")"),"")</f>
        <v/>
      </c>
      <c r="J10" s="29" t="str">
        <f ca="1">IFERROR(__xludf.DUMMYFUNCTION("ifna(JOIN(""; "", unique(FILTER(J$52:J$153,$CF$52:$CF$153=$C10,J$52:J$153&lt;&gt;""""))),"""")"),"")</f>
        <v/>
      </c>
      <c r="K10" s="30" t="str">
        <f>IFERROR((SUMIF($BV$52:$BV$151, $C10,L$52:L$151)/IF($H10&gt;0,$H10,SUM($F10:$G10))),"")</f>
        <v/>
      </c>
      <c r="L10" s="31">
        <f>SUMIF($BV$52:$BV$151, $C10,L$52:L$151)</f>
        <v>0</v>
      </c>
      <c r="M10" s="28" t="str">
        <f ca="1">IFERROR(__xludf.DUMMYFUNCTION("ifna(JOIN(""; "", unique(FILTER(M$52:M$153,$CF$52:$CF$153=$C10,M$52:M$153&lt;&gt;""""))),"""")"),"Scrape area to bare soil each year then spot spray any injurious weeds.")</f>
        <v>Scrape area to bare soil each year then spot spray any injurious weeds.</v>
      </c>
      <c r="N10" s="30" t="str">
        <f>IFERROR((SUMIF($BV$52:$BV$151, $C10,O$52:O$151)/IF($H10&gt;0,$H10,SUM($F10:$G10))),"")</f>
        <v/>
      </c>
      <c r="O10" s="31">
        <f>SUMIF($BV$52:$BV$151, $C10,O$52:O$151)</f>
        <v>0</v>
      </c>
      <c r="P10" s="31">
        <f t="shared" si="2"/>
        <v>0</v>
      </c>
      <c r="Q10" s="218" t="str">
        <f ca="1">IFERROR(__xludf.DUMMYFUNCTION("ifna(JOIN(""; "", unique(FILTER(Q$52:Q$153,$CF$52:$CF$153=$C10,Q$52:Q$153&lt;&gt;""""))),"""")"),"-")</f>
        <v>-</v>
      </c>
      <c r="R10" s="28" t="str">
        <f ca="1">IFERROR(__xludf.DUMMYFUNCTION("ifna(JOIN(""; "", unique(FILTER(R$52:R$153,$CF$52:$CF$153=$C10,R$52:R$153&lt;&gt;""""))),"""")"),"Scrape area to bare soil each year then spot spray any injurious weeds.")</f>
        <v>Scrape area to bare soil each year then spot spray any injurious weeds.</v>
      </c>
      <c r="S10" s="28" t="str">
        <f ca="1">IFERROR(__xludf.DUMMYFUNCTION("ifna(JOIN(""; "", unique(FILTER(S$52:S$153,$CF$52:$CF$153=$C10,S$52:S$153&lt;&gt;""""))),"""")"),"1")</f>
        <v>1</v>
      </c>
      <c r="T10" s="30" t="str">
        <f>IFERROR((SUMIF($BV$52:$BV$151, $C10,U$52:U$151)/IF($H10&gt;0,$H10,SUM($F10:$G10))),"")</f>
        <v/>
      </c>
      <c r="U10" s="31">
        <f>SUMIF($BV$52:$BV$151, $C10,U$52:U$151)</f>
        <v>0</v>
      </c>
      <c r="V10" s="28" t="str">
        <f ca="1">IFERROR(__xludf.DUMMYFUNCTION("ifna(JOIN(""; "", unique(FILTER(V$52:V$153,$CF$52:$CF$153=$C10,V$52:V$153&lt;&gt;""""))),"""")"),"Scrape area to bare soil each year then spot spray any injurious weeds.")</f>
        <v>Scrape area to bare soil each year then spot spray any injurious weeds.</v>
      </c>
      <c r="W10" s="28" t="str">
        <f ca="1">IFERROR(__xludf.DUMMYFUNCTION("ifna(JOIN(""; "", unique(FILTER(W$52:W$153,$CF$52:$CF$153=$C10,W$52:W$153&lt;&gt;""""))),"""")"),"1")</f>
        <v>1</v>
      </c>
      <c r="X10" s="219" t="str">
        <f>IFERROR((SUMIF($BV$52:$BV$151, $C10,Y$52:Y$151)/IF($H10&gt;0,$H10,SUM($F10:$G10))),"")</f>
        <v/>
      </c>
      <c r="Y10" s="33">
        <f>SUMIF($BV$52:$BV$151, $C10,Y$52:Y$151)</f>
        <v>0</v>
      </c>
      <c r="Z10" s="1"/>
      <c r="AA10" s="154">
        <f>SUMIF($BV$52:$BV$151, $C10,AA$52:AA$151)</f>
        <v>0</v>
      </c>
      <c r="AB10" s="1"/>
      <c r="AC10" s="214"/>
      <c r="AD10" s="214"/>
      <c r="AE10" s="154">
        <f>SUMIF($BV$52:$BV$151, $C10,AE$52:AE$151)</f>
        <v>0</v>
      </c>
      <c r="AF10" s="154">
        <f>SUMIF($BV$52:$BV$151, $C10,AF$52:AF$151)</f>
        <v>0</v>
      </c>
      <c r="AG10" s="154">
        <f>SUMIF($BV$52:$BV$151, $C10,AG$52:AG$151)</f>
        <v>0</v>
      </c>
      <c r="AH10" s="154">
        <f>SUMIF($BV$52:$BV$151, $C10,AH$52:AH$151)</f>
        <v>0</v>
      </c>
      <c r="AI10" s="154">
        <f>SUMIF($BV$52:$BV$151, $C10,AI$52:AI$151)</f>
        <v>0</v>
      </c>
      <c r="AJ10" s="154">
        <f>SUMIF($BV$52:$BV$151, $C10,AJ$52:AJ$151)</f>
        <v>0</v>
      </c>
      <c r="AK10" s="154">
        <f>SUMIF($BV$52:$BV$151, $C10,AK$52:AK$151)</f>
        <v>0</v>
      </c>
      <c r="AL10" s="154">
        <f>SUMIF($BV$52:$BV$151, $C10,AL$52:AL$151)</f>
        <v>0</v>
      </c>
      <c r="AM10" s="154">
        <f>SUMIF($BV$52:$BV$151, $C10,AM$52:AM$151)</f>
        <v>0</v>
      </c>
      <c r="AN10" s="154">
        <f>SUMIF($BV$52:$BV$151, $C10,AN$52:AN$151)</f>
        <v>0</v>
      </c>
      <c r="AO10" s="154">
        <f>SUMIF($BV$52:$BV$151, $C10,AO$52:AO$151)</f>
        <v>0</v>
      </c>
      <c r="AP10" s="154">
        <f>SUMIF($BV$52:$BV$151, $C10,AP$52:AP$151)</f>
        <v>0</v>
      </c>
      <c r="AQ10" s="154">
        <f>SUMIF($BV$52:$BV$151, $C10,AQ$52:AQ$151)</f>
        <v>0</v>
      </c>
      <c r="AR10" s="154">
        <f>SUMIF($BV$52:$BV$151, $C10,AR$52:AR$151)</f>
        <v>0</v>
      </c>
      <c r="AS10" s="154">
        <f>SUMIF($BV$52:$BV$151, $C10,AS$52:AS$151)</f>
        <v>0</v>
      </c>
      <c r="AT10" s="154">
        <f>SUMIF($BV$52:$BV$151, $C10,AT$52:AT$151)</f>
        <v>0</v>
      </c>
      <c r="AU10" s="154">
        <f>SUMIF($BV$52:$BV$151, $C10,AU$52:AU$151)</f>
        <v>0</v>
      </c>
      <c r="AV10" s="154">
        <f>SUMIF($BV$52:$BV$151, $C10,AV$52:AV$151)</f>
        <v>0</v>
      </c>
      <c r="AW10" s="154">
        <f>SUMIF($BV$52:$BV$151, $C10,AW$52:AW$151)</f>
        <v>0</v>
      </c>
      <c r="AX10" s="154">
        <f>SUMIF($BV$52:$BV$151, $C10,AX$52:AX$151)</f>
        <v>0</v>
      </c>
      <c r="AY10" s="154">
        <f>SUMIF($BV$52:$BV$151, $C10,AY$52:AY$151)</f>
        <v>0</v>
      </c>
      <c r="AZ10" s="154">
        <f>SUMIF($BV$52:$BV$151, $C10,AZ$52:AZ$151)</f>
        <v>0</v>
      </c>
      <c r="BA10" s="154">
        <f>SUMIF($BV$52:$BV$151, $C10,BA$52:BA$151)</f>
        <v>0</v>
      </c>
      <c r="BB10" s="154">
        <f>SUMIF($BV$52:$BV$151, $C10,BB$52:BB$151)</f>
        <v>0</v>
      </c>
      <c r="BC10" s="154">
        <f>SUMIF($BV$52:$BV$151, $C10,BC$52:BC$151)</f>
        <v>0</v>
      </c>
      <c r="BD10" s="154">
        <f>SUMIF($BV$52:$BV$151, $C10,BD$52:BD$151)</f>
        <v>0</v>
      </c>
      <c r="BE10" s="154">
        <f>SUMIF($BV$52:$BV$151, $C10,BE$52:BE$151)</f>
        <v>0</v>
      </c>
      <c r="BF10" s="154">
        <f>SUMIF($BV$52:$BV$151, $C10,BF$52:BF$151)</f>
        <v>0</v>
      </c>
      <c r="BG10" s="154">
        <f>SUMIF($BV$52:$BV$151, $C10,BG$52:BG$151)</f>
        <v>0</v>
      </c>
      <c r="BH10" s="154">
        <f>SUMIF($BV$52:$BV$151, $C10,BH$52:BH$151)</f>
        <v>0</v>
      </c>
      <c r="BI10" s="154">
        <f>SUMIF($BV$52:$BV$151, $C10,BI$52:BI$151)</f>
        <v>0</v>
      </c>
      <c r="BJ10" s="154">
        <f>SUMIF($BV$52:$BV$151, $C10,BJ$52:BJ$151)</f>
        <v>0</v>
      </c>
      <c r="BK10" s="154">
        <f>SUMIF($BV$52:$BV$151, $C10,BK$52:BK$151)</f>
        <v>0</v>
      </c>
      <c r="BL10" s="154">
        <f>SUMIF($BV$52:$BV$151, $C10,BL$52:BL$151)</f>
        <v>0</v>
      </c>
      <c r="BM10" s="154">
        <f>SUMIF($BV$52:$BV$151, $C10,BM$52:BM$151)</f>
        <v>0</v>
      </c>
      <c r="BN10" s="154">
        <f>SUMIF($BV$52:$BV$151, $C10,BN$52:BN$151)</f>
        <v>0</v>
      </c>
      <c r="BO10" s="154">
        <f>SUMIF($BV$52:$BV$151, $C10,BO$52:BO$151)</f>
        <v>0</v>
      </c>
      <c r="BP10" s="154">
        <f>SUMIF($BV$52:$BV$151, $C10,BP$52:BP$151)</f>
        <v>0</v>
      </c>
      <c r="BQ10" s="154">
        <f>SUMIF($BV$52:$BV$151, $C10,BQ$52:BQ$151)</f>
        <v>0</v>
      </c>
      <c r="BR10" s="154">
        <f>SUMIF($BV$52:$BV$151, $C10,BR$52:BR$151)</f>
        <v>0</v>
      </c>
      <c r="BS10" s="154">
        <f>SUMIF($BV$52:$BV$151, $C10,BS$52:BS$151)</f>
        <v>0</v>
      </c>
      <c r="BT10" s="1"/>
      <c r="BU10" s="1"/>
      <c r="BV10" s="23"/>
      <c r="BW10" s="1"/>
      <c r="BX10" s="23"/>
      <c r="BY10" s="1"/>
    </row>
    <row r="11" spans="1:77" ht="16" x14ac:dyDescent="0.15">
      <c r="A11" s="14"/>
      <c r="B11" s="1067"/>
      <c r="C11" s="51" t="str">
        <f t="shared" si="3"/>
        <v>Heathland / heather</v>
      </c>
      <c r="D11" s="220"/>
      <c r="E11" s="52"/>
      <c r="F11" s="24">
        <f>SUMIF($BV$52:$BV$151, $C11,F$52:F$151)</f>
        <v>0</v>
      </c>
      <c r="G11" s="24">
        <f>SUMIF($BV$52:$BV$151, $C11,G$52:G$151)</f>
        <v>0</v>
      </c>
      <c r="H11" s="27">
        <f>SUMIF($BV$52:$BV$151, $C11,H$52:H$151)</f>
        <v>0</v>
      </c>
      <c r="I11" s="52"/>
      <c r="J11" s="55"/>
      <c r="K11" s="56"/>
      <c r="L11" s="57"/>
      <c r="M11" s="52"/>
      <c r="N11" s="56"/>
      <c r="O11" s="57"/>
      <c r="P11" s="57"/>
      <c r="Q11" s="218" t="str">
        <f ca="1">IFERROR(__xludf.DUMMYFUNCTION("ifna(JOIN(""; "", unique(FILTER(Q$52:Q$153,$CF$52:$CF$153=$C11,Q$52:Q$153&lt;&gt;""""))),"""")"),"-")</f>
        <v>-</v>
      </c>
      <c r="R11" s="52"/>
      <c r="S11" s="52"/>
      <c r="T11" s="56"/>
      <c r="U11" s="57"/>
      <c r="V11" s="52"/>
      <c r="W11" s="52"/>
      <c r="X11" s="221"/>
      <c r="Y11" s="58"/>
      <c r="Z11" s="1"/>
      <c r="AA11" s="154">
        <f>SUMIF($BV$52:$BV$151, $C11,AA$52:AA$151)</f>
        <v>0</v>
      </c>
      <c r="AB11" s="1"/>
      <c r="AC11" s="214"/>
      <c r="AD11" s="214"/>
      <c r="AE11" s="154">
        <f>SUMIF($BV$52:$BV$151, $C11,AE$52:AE$151)</f>
        <v>0</v>
      </c>
      <c r="AF11" s="154">
        <f>SUMIF($BV$52:$BV$151, $C11,AF$52:AF$151)</f>
        <v>0</v>
      </c>
      <c r="AG11" s="154">
        <f>SUMIF($BV$52:$BV$151, $C11,AG$52:AG$151)</f>
        <v>0</v>
      </c>
      <c r="AH11" s="154">
        <f>SUMIF($BV$52:$BV$151, $C11,AH$52:AH$151)</f>
        <v>0</v>
      </c>
      <c r="AI11" s="154">
        <f>SUMIF($BV$52:$BV$151, $C11,AI$52:AI$151)</f>
        <v>0</v>
      </c>
      <c r="AJ11" s="154">
        <f>SUMIF($BV$52:$BV$151, $C11,AJ$52:AJ$151)</f>
        <v>0</v>
      </c>
      <c r="AK11" s="154">
        <f>SUMIF($BV$52:$BV$151, $C11,AK$52:AK$151)</f>
        <v>0</v>
      </c>
      <c r="AL11" s="154">
        <f>SUMIF($BV$52:$BV$151, $C11,AL$52:AL$151)</f>
        <v>0</v>
      </c>
      <c r="AM11" s="154">
        <f>SUMIF($BV$52:$BV$151, $C11,AM$52:AM$151)</f>
        <v>0</v>
      </c>
      <c r="AN11" s="154">
        <f>SUMIF($BV$52:$BV$151, $C11,AN$52:AN$151)</f>
        <v>0</v>
      </c>
      <c r="AO11" s="154">
        <f>SUMIF($BV$52:$BV$151, $C11,AO$52:AO$151)</f>
        <v>0</v>
      </c>
      <c r="AP11" s="154">
        <f>SUMIF($BV$52:$BV$151, $C11,AP$52:AP$151)</f>
        <v>0</v>
      </c>
      <c r="AQ11" s="154">
        <f>SUMIF($BV$52:$BV$151, $C11,AQ$52:AQ$151)</f>
        <v>0</v>
      </c>
      <c r="AR11" s="154">
        <f>SUMIF($BV$52:$BV$151, $C11,AR$52:AR$151)</f>
        <v>0</v>
      </c>
      <c r="AS11" s="154">
        <f>SUMIF($BV$52:$BV$151, $C11,AS$52:AS$151)</f>
        <v>0</v>
      </c>
      <c r="AT11" s="154">
        <f>SUMIF($BV$52:$BV$151, $C11,AT$52:AT$151)</f>
        <v>0</v>
      </c>
      <c r="AU11" s="154">
        <f>SUMIF($BV$52:$BV$151, $C11,AU$52:AU$151)</f>
        <v>0</v>
      </c>
      <c r="AV11" s="154">
        <f>SUMIF($BV$52:$BV$151, $C11,AV$52:AV$151)</f>
        <v>0</v>
      </c>
      <c r="AW11" s="154">
        <f>SUMIF($BV$52:$BV$151, $C11,AW$52:AW$151)</f>
        <v>0</v>
      </c>
      <c r="AX11" s="154">
        <f>SUMIF($BV$52:$BV$151, $C11,AX$52:AX$151)</f>
        <v>0</v>
      </c>
      <c r="AY11" s="154">
        <f>SUMIF($BV$52:$BV$151, $C11,AY$52:AY$151)</f>
        <v>0</v>
      </c>
      <c r="AZ11" s="154">
        <f>SUMIF($BV$52:$BV$151, $C11,AZ$52:AZ$151)</f>
        <v>0</v>
      </c>
      <c r="BA11" s="154">
        <f>SUMIF($BV$52:$BV$151, $C11,BA$52:BA$151)</f>
        <v>0</v>
      </c>
      <c r="BB11" s="154">
        <f>SUMIF($BV$52:$BV$151, $C11,BB$52:BB$151)</f>
        <v>0</v>
      </c>
      <c r="BC11" s="154">
        <f>SUMIF($BV$52:$BV$151, $C11,BC$52:BC$151)</f>
        <v>0</v>
      </c>
      <c r="BD11" s="154">
        <f>SUMIF($BV$52:$BV$151, $C11,BD$52:BD$151)</f>
        <v>0</v>
      </c>
      <c r="BE11" s="154">
        <f>SUMIF($BV$52:$BV$151, $C11,BE$52:BE$151)</f>
        <v>0</v>
      </c>
      <c r="BF11" s="154">
        <f>SUMIF($BV$52:$BV$151, $C11,BF$52:BF$151)</f>
        <v>0</v>
      </c>
      <c r="BG11" s="154">
        <f>SUMIF($BV$52:$BV$151, $C11,BG$52:BG$151)</f>
        <v>0</v>
      </c>
      <c r="BH11" s="154">
        <f>SUMIF($BV$52:$BV$151, $C11,BH$52:BH$151)</f>
        <v>0</v>
      </c>
      <c r="BI11" s="154">
        <f>SUMIF($BV$52:$BV$151, $C11,BI$52:BI$151)</f>
        <v>0</v>
      </c>
      <c r="BJ11" s="154">
        <f>SUMIF($BV$52:$BV$151, $C11,BJ$52:BJ$151)</f>
        <v>0</v>
      </c>
      <c r="BK11" s="154">
        <f>SUMIF($BV$52:$BV$151, $C11,BK$52:BK$151)</f>
        <v>0</v>
      </c>
      <c r="BL11" s="154">
        <f>SUMIF($BV$52:$BV$151, $C11,BL$52:BL$151)</f>
        <v>0</v>
      </c>
      <c r="BM11" s="154">
        <f>SUMIF($BV$52:$BV$151, $C11,BM$52:BM$151)</f>
        <v>0</v>
      </c>
      <c r="BN11" s="154">
        <f>SUMIF($BV$52:$BV$151, $C11,BN$52:BN$151)</f>
        <v>0</v>
      </c>
      <c r="BO11" s="154">
        <f>SUMIF($BV$52:$BV$151, $C11,BO$52:BO$151)</f>
        <v>0</v>
      </c>
      <c r="BP11" s="154">
        <f>SUMIF($BV$52:$BV$151, $C11,BP$52:BP$151)</f>
        <v>0</v>
      </c>
      <c r="BQ11" s="154">
        <f>SUMIF($BV$52:$BV$151, $C11,BQ$52:BQ$151)</f>
        <v>0</v>
      </c>
      <c r="BR11" s="154">
        <f>SUMIF($BV$52:$BV$151, $C11,BR$52:BR$151)</f>
        <v>0</v>
      </c>
      <c r="BS11" s="154">
        <f>SUMIF($BV$52:$BV$151, $C11,BS$52:BS$151)</f>
        <v>0</v>
      </c>
      <c r="BT11" s="1"/>
      <c r="BU11" s="1"/>
      <c r="BV11" s="23"/>
      <c r="BW11" s="1"/>
      <c r="BX11" s="23"/>
      <c r="BY11" s="1"/>
    </row>
    <row r="12" spans="1:77" ht="32" x14ac:dyDescent="0.15">
      <c r="A12" s="14"/>
      <c r="B12" s="1068"/>
      <c r="C12" s="35" t="str">
        <f t="shared" si="3"/>
        <v>Tussock grassland</v>
      </c>
      <c r="D12" s="222"/>
      <c r="E12" s="36" t="str">
        <f ca="1">IFERROR(__xludf.DUMMYFUNCTION("ifna(JOIN(""; "", unique(FILTER(E$52:E$153,$CF$52:$CF$153=$C12,E$52:E$153&lt;&gt;""""))),"""")"),"")</f>
        <v/>
      </c>
      <c r="F12" s="37">
        <f>SUMIF($BV$52:$BV$151, $C12,F$52:F$151)</f>
        <v>4</v>
      </c>
      <c r="G12" s="37">
        <f>SUMIF($BV$52:$BV$151, $C12,G$52:G$151)</f>
        <v>0</v>
      </c>
      <c r="H12" s="38">
        <f>SUMIF($BV$52:$BV$151, $C12,H$52:H$151)</f>
        <v>0</v>
      </c>
      <c r="I12" s="36" t="str">
        <f ca="1">IFERROR(__xludf.DUMMYFUNCTION("ifna(JOIN(""; "", unique(FILTER(I$52:I$153,$CF$52:$CF$153=$C12,I$52:I$153&lt;&gt;""""))),"""")"),"EM10 or equivalent")</f>
        <v>EM10 or equivalent</v>
      </c>
      <c r="J12" s="39" t="str">
        <f ca="1">IFERROR(__xludf.DUMMYFUNCTION("ifna(JOIN(""; "", unique(FILTER(J$52:J$153,$CF$52:$CF$153=$C12,J$52:J$153&lt;&gt;""""))),"""")"),"Commercial supplier")</f>
        <v>Commercial supplier</v>
      </c>
      <c r="K12" s="40">
        <f>IFERROR((SUMIF($BV$52:$BV$151, $C12,L$52:L$151)/IF($H12&gt;0,$H12,SUM($F12:$G12))),"")</f>
        <v>2060</v>
      </c>
      <c r="L12" s="41">
        <f>SUMIF($BV$52:$BV$151, $C12,L$52:L$151)</f>
        <v>8240</v>
      </c>
      <c r="M12" s="36" t="str">
        <f ca="1">IFERROR(__xludf.DUMMYFUNCTION("ifna(JOIN(""; "", unique(FILTER(M$52:M$153,$CF$52:$CF$153=$C12,M$52:M$153&lt;&gt;""""))),"""")"),"Twice cultivation, sowing, rolling")</f>
        <v>Twice cultivation, sowing, rolling</v>
      </c>
      <c r="N12" s="40">
        <f>IFERROR((SUMIF($BV$52:$BV$151, $C12,O$52:O$151)/IF($H12&gt;0,$H12,SUM($F12:$G12))),"")</f>
        <v>250</v>
      </c>
      <c r="O12" s="41">
        <f>SUMIF($BV$52:$BV$151, $C12,O$52:O$151)</f>
        <v>1000</v>
      </c>
      <c r="P12" s="41">
        <f t="shared" ref="P12:P31" si="4">L12+O12</f>
        <v>9240</v>
      </c>
      <c r="Q12" s="223" t="str">
        <f ca="1">IFERROR(__xludf.DUMMYFUNCTION("ifna(JOIN(""; "", unique(FILTER(Q$52:Q$153,$CF$52:$CF$153=$C12,Q$52:Q$153&lt;&gt;""""))),"""")"),"-")</f>
        <v>-</v>
      </c>
      <c r="R12" s="36" t="str">
        <f ca="1">IFERROR(__xludf.DUMMYFUNCTION("ifna(JOIN(""; "", unique(FILTER(R$52:R$153,$CF$52:$CF$153=$C12,R$52:R$153&lt;&gt;""""))),"""")"),"Topping, mulching mower")</f>
        <v>Topping, mulching mower</v>
      </c>
      <c r="S12" s="36" t="str">
        <f ca="1">IFERROR(__xludf.DUMMYFUNCTION("ifna(JOIN(""; "", unique(FILTER(S$52:S$153,$CF$52:$CF$153=$C12,S$52:S$153&lt;&gt;""""))),"""")"),"0.5")</f>
        <v>0.5</v>
      </c>
      <c r="T12" s="40">
        <f>IFERROR((SUMIF($BV$52:$BV$151, $C12,U$52:U$151)/IF($H12&gt;0,$H12,SUM($F12:$G12))),"")</f>
        <v>37.5</v>
      </c>
      <c r="U12" s="41">
        <f>SUMIF($BV$52:$BV$151, $C12,U$52:U$151)</f>
        <v>150</v>
      </c>
      <c r="V12" s="36" t="str">
        <f ca="1">IFERROR(__xludf.DUMMYFUNCTION("ifna(JOIN(""; "", unique(FILTER(V$52:V$153,$CF$52:$CF$153=$C12,V$52:V$153&lt;&gt;""""))),"""")"),"Topping, Mulching mower")</f>
        <v>Topping, Mulching mower</v>
      </c>
      <c r="W12" s="36" t="str">
        <f ca="1">IFERROR(__xludf.DUMMYFUNCTION("ifna(JOIN(""; "", unique(FILTER(W$52:W$153,$CF$52:$CF$153=$C12,W$52:W$153&lt;&gt;""""))),"""")"),"0.5")</f>
        <v>0.5</v>
      </c>
      <c r="X12" s="224">
        <f>IFERROR((SUMIF($BV$52:$BV$151, $C12,Y$52:Y$151)/IF($H12&gt;0,$H12,SUM($F12:$G12))),"")</f>
        <v>37.5</v>
      </c>
      <c r="Y12" s="43">
        <f>SUMIF($BV$52:$BV$151, $C12,Y$52:Y$151)</f>
        <v>150</v>
      </c>
      <c r="Z12" s="1"/>
      <c r="AA12" s="154">
        <f>SUMIF($BV$52:$BV$151, $C12,AA$52:AA$151)</f>
        <v>12044.025580558069</v>
      </c>
      <c r="AB12" s="1"/>
      <c r="AC12" s="214"/>
      <c r="AD12" s="214"/>
      <c r="AE12" s="154">
        <f>SUMIF($BV$52:$BV$151, $C12,AE$52:AE$151)</f>
        <v>9240</v>
      </c>
      <c r="AF12" s="154">
        <f>SUMIF($BV$52:$BV$151, $C12,AF$52:AF$151)</f>
        <v>153.75</v>
      </c>
      <c r="AG12" s="154">
        <f>SUMIF($BV$52:$BV$151, $C12,AG$52:AG$151)</f>
        <v>157.59375</v>
      </c>
      <c r="AH12" s="154">
        <f>SUMIF($BV$52:$BV$151, $C12,AH$52:AH$151)</f>
        <v>161.53359374999999</v>
      </c>
      <c r="AI12" s="154">
        <f>SUMIF($BV$52:$BV$151, $C12,AI$52:AI$151)</f>
        <v>165.57193359374997</v>
      </c>
      <c r="AJ12" s="154">
        <f>SUMIF($BV$52:$BV$151, $C12,AJ$52:AJ$151)</f>
        <v>169.71123193359369</v>
      </c>
      <c r="AK12" s="154">
        <f>SUMIF($BV$52:$BV$151, $C12,AK$52:AK$151)</f>
        <v>173.95401273193352</v>
      </c>
      <c r="AL12" s="154">
        <f>SUMIF($BV$52:$BV$151, $C12,AL$52:AL$151)</f>
        <v>178.30286305023188</v>
      </c>
      <c r="AM12" s="154">
        <f>SUMIF($BV$52:$BV$151, $C12,AM$52:AM$151)</f>
        <v>182.76043462648767</v>
      </c>
      <c r="AN12" s="154">
        <f>SUMIF($BV$52:$BV$151, $C12,AN$52:AN$151)</f>
        <v>187.3294454921498</v>
      </c>
      <c r="AO12" s="154">
        <f>SUMIF($BV$52:$BV$151, $C12,AO$52:AO$151)</f>
        <v>192.01268162945357</v>
      </c>
      <c r="AP12" s="154">
        <f>SUMIF($BV$52:$BV$151, $C12,AP$52:AP$151)</f>
        <v>196.8129986701899</v>
      </c>
      <c r="AQ12" s="154">
        <f>SUMIF($BV$52:$BV$151, $C12,AQ$52:AQ$151)</f>
        <v>201.73332363694462</v>
      </c>
      <c r="AR12" s="154">
        <f>SUMIF($BV$52:$BV$151, $C12,AR$52:AR$151)</f>
        <v>206.77665672786824</v>
      </c>
      <c r="AS12" s="154">
        <f>SUMIF($BV$52:$BV$151, $C12,AS$52:AS$151)</f>
        <v>211.94607314606492</v>
      </c>
      <c r="AT12" s="154">
        <f>SUMIF($BV$52:$BV$151, $C12,AT$52:AT$151)</f>
        <v>217.24472497471658</v>
      </c>
      <c r="AU12" s="154">
        <f>SUMIF($BV$52:$BV$151, $C12,AU$52:AU$151)</f>
        <v>222.67584309908446</v>
      </c>
      <c r="AV12" s="154">
        <f>SUMIF($BV$52:$BV$151, $C12,AV$52:AV$151)</f>
        <v>228.24273917656154</v>
      </c>
      <c r="AW12" s="154">
        <f>SUMIF($BV$52:$BV$151, $C12,AW$52:AW$151)</f>
        <v>233.9488076559756</v>
      </c>
      <c r="AX12" s="154">
        <f>SUMIF($BV$52:$BV$151, $C12,AX$52:AX$151)</f>
        <v>239.79752784737499</v>
      </c>
      <c r="AY12" s="154">
        <f>SUMIF($BV$52:$BV$151, $C12,AY$52:AY$151)</f>
        <v>245.79246604355933</v>
      </c>
      <c r="AZ12" s="154">
        <f>SUMIF($BV$52:$BV$151, $C12,AZ$52:AZ$151)</f>
        <v>251.93727769464829</v>
      </c>
      <c r="BA12" s="154">
        <f>SUMIF($BV$52:$BV$151, $C12,BA$52:BA$151)</f>
        <v>258.23570963701451</v>
      </c>
      <c r="BB12" s="154">
        <f>SUMIF($BV$52:$BV$151, $C12,BB$52:BB$151)</f>
        <v>264.69160237793989</v>
      </c>
      <c r="BC12" s="154">
        <f>SUMIF($BV$52:$BV$151, $C12,BC$52:BC$151)</f>
        <v>271.30889243738835</v>
      </c>
      <c r="BD12" s="154">
        <f>SUMIF($BV$52:$BV$151, $C12,BD$52:BD$151)</f>
        <v>278.09161474832302</v>
      </c>
      <c r="BE12" s="154">
        <f>SUMIF($BV$52:$BV$151, $C12,BE$52:BE$151)</f>
        <v>285.04390511703104</v>
      </c>
      <c r="BF12" s="154">
        <f>SUMIF($BV$52:$BV$151, $C12,BF$52:BF$151)</f>
        <v>292.17000274495683</v>
      </c>
      <c r="BG12" s="154">
        <f>SUMIF($BV$52:$BV$151, $C12,BG$52:BG$151)</f>
        <v>299.47425281358073</v>
      </c>
      <c r="BH12" s="154">
        <f>SUMIF($BV$52:$BV$151, $C12,BH$52:BH$151)</f>
        <v>306.96110913392027</v>
      </c>
      <c r="BI12" s="154">
        <f>SUMIF($BV$52:$BV$151, $C12,BI$52:BI$151)</f>
        <v>314.63513686226821</v>
      </c>
      <c r="BJ12" s="154">
        <f>SUMIF($BV$52:$BV$151, $C12,BJ$52:BJ$151)</f>
        <v>322.50101528382498</v>
      </c>
      <c r="BK12" s="154">
        <f>SUMIF($BV$52:$BV$151, $C12,BK$52:BK$151)</f>
        <v>330.56354066592053</v>
      </c>
      <c r="BL12" s="154">
        <f>SUMIF($BV$52:$BV$151, $C12,BL$52:BL$151)</f>
        <v>338.82762918256856</v>
      </c>
      <c r="BM12" s="154">
        <f>SUMIF($BV$52:$BV$151, $C12,BM$52:BM$151)</f>
        <v>347.29831991213274</v>
      </c>
      <c r="BN12" s="154">
        <f>SUMIF($BV$52:$BV$151, $C12,BN$52:BN$151)</f>
        <v>355.98077790993602</v>
      </c>
      <c r="BO12" s="154">
        <f>SUMIF($BV$52:$BV$151, $C12,BO$52:BO$151)</f>
        <v>364.88029735768447</v>
      </c>
      <c r="BP12" s="154">
        <f>SUMIF($BV$52:$BV$151, $C12,BP$52:BP$151)</f>
        <v>374.0023047916265</v>
      </c>
      <c r="BQ12" s="154">
        <f>SUMIF($BV$52:$BV$151, $C12,BQ$52:BQ$151)</f>
        <v>383.35236241141712</v>
      </c>
      <c r="BR12" s="154">
        <f>SUMIF($BV$52:$BV$151, $C12,BR$52:BR$151)</f>
        <v>392.93617147170255</v>
      </c>
      <c r="BS12" s="154">
        <f>SUMIF($BV$52:$BV$151, $C12,BS$52:BS$151)</f>
        <v>402.75957575849509</v>
      </c>
      <c r="BT12" s="1"/>
      <c r="BU12" s="1"/>
      <c r="BV12" s="23"/>
      <c r="BW12" s="1"/>
      <c r="BX12" s="23"/>
      <c r="BY12" s="1"/>
    </row>
    <row r="13" spans="1:77" ht="48" x14ac:dyDescent="0.15">
      <c r="A13" s="14"/>
      <c r="B13" s="1069" t="str">
        <f t="shared" ref="B13:C13" si="5">B59</f>
        <v>Woody plants, scrub &amp; screening plants</v>
      </c>
      <c r="C13" s="25" t="str">
        <f t="shared" si="5"/>
        <v>Scrub</v>
      </c>
      <c r="D13" s="217"/>
      <c r="E13" s="26" t="str">
        <f ca="1">IFERROR(__xludf.DUMMYFUNCTION("ifna(JOIN(""; "", unique(FILTER(E$52:E$153,$CF$52:$CF$153=$C13,E$52:E$153&lt;&gt;""""))),"""")"),"Various locations; Along main road boundary; Screening: Western corner")</f>
        <v>Various locations; Along main road boundary; Screening: Western corner</v>
      </c>
      <c r="F13" s="44">
        <f>SUMIF($BV$52:$BV$151, $C13,F$52:F$151)</f>
        <v>0.60399999999999998</v>
      </c>
      <c r="G13" s="44">
        <f>SUMIF($BV$52:$BV$151, $C13,G$52:G$151)</f>
        <v>0</v>
      </c>
      <c r="H13" s="45">
        <f>SUMIF($BV$52:$BV$151, $C13,H$52:H$151)</f>
        <v>1805</v>
      </c>
      <c r="I13" s="26" t="str">
        <f ca="1">IFERROR(__xludf.DUMMYFUNCTION("ifna(JOIN(""; "", unique(FILTER(I$52:I$153,$CF$52:$CF$153=$C13,I$52:I$153&lt;&gt;""""))),"""")"),"Mixed species; Mixed Species")</f>
        <v>Mixed species; Mixed Species</v>
      </c>
      <c r="J13" s="46" t="str">
        <f ca="1">IFERROR(__xludf.DUMMYFUNCTION("ifna(JOIN(""; "", unique(FILTER(J$52:J$153,$CF$52:$CF$153=$C13,J$52:J$153&lt;&gt;""""))),"""")"),"TBC")</f>
        <v>TBC</v>
      </c>
      <c r="K13" s="47">
        <f>IFERROR((SUMIF($BV$52:$BV$151, $C13,L$52:L$151)/IF($H13&gt;0,$H13,SUM($F13:$G13))),"")</f>
        <v>1.4865817174515237</v>
      </c>
      <c r="L13" s="48">
        <f>SUMIF($BV$52:$BV$151, $C13,L$52:L$151)</f>
        <v>2683.28</v>
      </c>
      <c r="M13" s="26" t="str">
        <f ca="1">IFERROR(__xludf.DUMMYFUNCTION("ifna(JOIN(""; "", unique(FILTER(M$52:M$153,$CF$52:$CF$153=$C13,M$52:M$153&lt;&gt;""""))),"""")"),"Slot planting, mulching")</f>
        <v>Slot planting, mulching</v>
      </c>
      <c r="N13" s="47">
        <f>IFERROR((SUMIF($BV$52:$BV$151, $C13,O$52:O$151)/IF($H13&gt;0,$H13,SUM($F13:$G13))),"")</f>
        <v>0.93038227146814412</v>
      </c>
      <c r="O13" s="48">
        <f>SUMIF($BV$52:$BV$151, $C13,O$52:O$151)</f>
        <v>1679.3400000000001</v>
      </c>
      <c r="P13" s="48">
        <f t="shared" si="4"/>
        <v>4362.6200000000008</v>
      </c>
      <c r="Q13" s="26" t="str">
        <f ca="1">IFERROR(__xludf.DUMMYFUNCTION("ifna(JOIN(""; "", unique(FILTER(Q$52:Q$153,$CF$52:$CF$153=$C13,Q$52:Q$153&lt;&gt;""""))),"""")"),"November")</f>
        <v>November</v>
      </c>
      <c r="R13" s="26" t="str">
        <f ca="1">IFERROR(__xludf.DUMMYFUNCTION("ifna(JOIN(""; "", unique(FILTER(R$52:R$153,$CF$52:$CF$153=$C13,R$52:R$153&lt;&gt;""""))),"""")"),"Check for die-off and replace any diseased / dead whips ")</f>
        <v xml:space="preserve">Check for die-off and replace any diseased / dead whips </v>
      </c>
      <c r="S13" s="26" t="str">
        <f ca="1">IFERROR(__xludf.DUMMYFUNCTION("ifna(JOIN(""; "", unique(FILTER(S$52:S$153,$CF$52:$CF$153=$C13,S$52:S$153&lt;&gt;""""))),"""")"),"1")</f>
        <v>1</v>
      </c>
      <c r="T13" s="47">
        <f>IFERROR((SUMIF($BV$52:$BV$151, $C13,U$52:U$151)/IF($H13&gt;0,$H13,SUM($F13:$G13))),"")</f>
        <v>0.12084819944598339</v>
      </c>
      <c r="U13" s="48">
        <f>SUMIF($BV$52:$BV$151, $C13,U$52:U$151)</f>
        <v>218.13100000000003</v>
      </c>
      <c r="V13" s="26" t="str">
        <f ca="1">IFERROR(__xludf.DUMMYFUNCTION("ifna(JOIN(""; "", unique(FILTER(V$52:V$153,$CF$52:$CF$153=$C13,V$52:V$153&lt;&gt;""""))),"""")"),"Trim scrub areas with a flail at the same time as hedging")</f>
        <v>Trim scrub areas with a flail at the same time as hedging</v>
      </c>
      <c r="W13" s="26" t="str">
        <f ca="1">IFERROR(__xludf.DUMMYFUNCTION("ifna(JOIN(""; "", unique(FILTER(W$52:W$153,$CF$52:$CF$153=$C13,W$52:W$153&lt;&gt;""""))),"""")"),"0.3")</f>
        <v>0.3</v>
      </c>
      <c r="X13" s="225">
        <f>IFERROR((SUMIF($BV$52:$BV$151, $C13,Y$52:Y$151)/IF($H13&gt;0,$H13,SUM($F13:$G13))),"")</f>
        <v>0.5817174515235457</v>
      </c>
      <c r="Y13" s="50">
        <f>SUMIF($BV$52:$BV$151, $C13,Y$52:Y$151)</f>
        <v>1050</v>
      </c>
      <c r="Z13" s="1"/>
      <c r="AA13" s="154">
        <f>SUMIF($BV$52:$BV$151, $C13,AA$52:AA$151)</f>
        <v>21699.279460288995</v>
      </c>
      <c r="AB13" s="1"/>
      <c r="AC13" s="214"/>
      <c r="AD13" s="214"/>
      <c r="AE13" s="154">
        <f>SUMIF($BV$52:$BV$151, $C13,AE$52:AE$151)</f>
        <v>4362.62</v>
      </c>
      <c r="AF13" s="154">
        <f>SUMIF($BV$52:$BV$151, $C13,AF$52:AF$151)</f>
        <v>223.58427499999999</v>
      </c>
      <c r="AG13" s="154">
        <f>SUMIF($BV$52:$BV$151, $C13,AG$52:AG$151)</f>
        <v>229.17388187500001</v>
      </c>
      <c r="AH13" s="154">
        <f>SUMIF($BV$52:$BV$151, $C13,AH$52:AH$151)</f>
        <v>234.90322892187496</v>
      </c>
      <c r="AI13" s="154">
        <f>SUMIF($BV$52:$BV$151, $C13,AI$52:AI$151)</f>
        <v>1159.0035351562497</v>
      </c>
      <c r="AJ13" s="154">
        <f>SUMIF($BV$52:$BV$151, $C13,AJ$52:AJ$151)</f>
        <v>1187.978623535156</v>
      </c>
      <c r="AK13" s="154">
        <f>SUMIF($BV$52:$BV$151, $C13,AK$52:AK$151)</f>
        <v>1217.6780891235346</v>
      </c>
      <c r="AL13" s="154">
        <f>SUMIF($BV$52:$BV$151, $C13,AL$52:AL$151)</f>
        <v>1248.1200413516231</v>
      </c>
      <c r="AM13" s="154">
        <f>SUMIF($BV$52:$BV$151, $C13,AM$52:AM$151)</f>
        <v>1279.3230423854136</v>
      </c>
      <c r="AN13" s="154">
        <f>SUMIF($BV$52:$BV$151, $C13,AN$52:AN$151)</f>
        <v>1311.3061184450487</v>
      </c>
      <c r="AO13" s="154">
        <f>SUMIF($BV$52:$BV$151, $C13,AO$52:AO$151)</f>
        <v>1344.0887714061748</v>
      </c>
      <c r="AP13" s="154">
        <f>SUMIF($BV$52:$BV$151, $C13,AP$52:AP$151)</f>
        <v>1377.6909906913293</v>
      </c>
      <c r="AQ13" s="154">
        <f>SUMIF($BV$52:$BV$151, $C13,AQ$52:AQ$151)</f>
        <v>1412.1332654586124</v>
      </c>
      <c r="AR13" s="154">
        <f>SUMIF($BV$52:$BV$151, $C13,AR$52:AR$151)</f>
        <v>1447.4365970950778</v>
      </c>
      <c r="AS13" s="154">
        <f>SUMIF($BV$52:$BV$151, $C13,AS$52:AS$151)</f>
        <v>1483.6225120224544</v>
      </c>
      <c r="AT13" s="154">
        <f>SUMIF($BV$52:$BV$151, $C13,AT$52:AT$151)</f>
        <v>1520.7130748230161</v>
      </c>
      <c r="AU13" s="154">
        <f>SUMIF($BV$52:$BV$151, $C13,AU$52:AU$151)</f>
        <v>1558.730901693591</v>
      </c>
      <c r="AV13" s="154">
        <f>SUMIF($BV$52:$BV$151, $C13,AV$52:AV$151)</f>
        <v>1597.699174235931</v>
      </c>
      <c r="AW13" s="154">
        <f>SUMIF($BV$52:$BV$151, $C13,AW$52:AW$151)</f>
        <v>1637.6416535918293</v>
      </c>
      <c r="AX13" s="154">
        <f>SUMIF($BV$52:$BV$151, $C13,AX$52:AX$151)</f>
        <v>1678.5826949316247</v>
      </c>
      <c r="AY13" s="154">
        <f>SUMIF($BV$52:$BV$151, $C13,AY$52:AY$151)</f>
        <v>1720.5472623049154</v>
      </c>
      <c r="AZ13" s="154">
        <f>SUMIF($BV$52:$BV$151, $C13,AZ$52:AZ$151)</f>
        <v>1763.5609438625379</v>
      </c>
      <c r="BA13" s="154">
        <f>SUMIF($BV$52:$BV$151, $C13,BA$52:BA$151)</f>
        <v>1807.6499674591014</v>
      </c>
      <c r="BB13" s="154">
        <f>SUMIF($BV$52:$BV$151, $C13,BB$52:BB$151)</f>
        <v>1852.8412166455792</v>
      </c>
      <c r="BC13" s="154">
        <f>SUMIF($BV$52:$BV$151, $C13,BC$52:BC$151)</f>
        <v>1899.1622470617183</v>
      </c>
      <c r="BD13" s="154">
        <f>SUMIF($BV$52:$BV$151, $C13,BD$52:BD$151)</f>
        <v>1946.6413032382609</v>
      </c>
      <c r="BE13" s="154">
        <f>SUMIF($BV$52:$BV$151, $C13,BE$52:BE$151)</f>
        <v>1995.3073358192173</v>
      </c>
      <c r="BF13" s="154">
        <f>SUMIF($BV$52:$BV$151, $C13,BF$52:BF$151)</f>
        <v>2045.1900192146979</v>
      </c>
      <c r="BG13" s="154">
        <f>SUMIF($BV$52:$BV$151, $C13,BG$52:BG$151)</f>
        <v>2096.3197696950651</v>
      </c>
      <c r="BH13" s="154">
        <f>SUMIF($BV$52:$BV$151, $C13,BH$52:BH$151)</f>
        <v>2148.727763937442</v>
      </c>
      <c r="BI13" s="154">
        <f>SUMIF($BV$52:$BV$151, $C13,BI$52:BI$151)</f>
        <v>2202.4459580358775</v>
      </c>
      <c r="BJ13" s="154">
        <f>SUMIF($BV$52:$BV$151, $C13,BJ$52:BJ$151)</f>
        <v>2257.5071069867749</v>
      </c>
      <c r="BK13" s="154">
        <f>SUMIF($BV$52:$BV$151, $C13,BK$52:BK$151)</f>
        <v>2313.9447846614439</v>
      </c>
      <c r="BL13" s="154">
        <f>SUMIF($BV$52:$BV$151, $C13,BL$52:BL$151)</f>
        <v>2371.7934042779798</v>
      </c>
      <c r="BM13" s="154">
        <f>SUMIF($BV$52:$BV$151, $C13,BM$52:BM$151)</f>
        <v>2431.0882393849297</v>
      </c>
      <c r="BN13" s="154">
        <f>SUMIF($BV$52:$BV$151, $C13,BN$52:BN$151)</f>
        <v>2491.8654453695522</v>
      </c>
      <c r="BO13" s="154">
        <f>SUMIF($BV$52:$BV$151, $C13,BO$52:BO$151)</f>
        <v>2554.1620815037913</v>
      </c>
      <c r="BP13" s="154">
        <f>SUMIF($BV$52:$BV$151, $C13,BP$52:BP$151)</f>
        <v>2618.0161335413854</v>
      </c>
      <c r="BQ13" s="154">
        <f>SUMIF($BV$52:$BV$151, $C13,BQ$52:BQ$151)</f>
        <v>2683.4665368799197</v>
      </c>
      <c r="BR13" s="154">
        <f>SUMIF($BV$52:$BV$151, $C13,BR$52:BR$151)</f>
        <v>2750.553200301918</v>
      </c>
      <c r="BS13" s="154">
        <f>SUMIF($BV$52:$BV$151, $C13,BS$52:BS$151)</f>
        <v>2819.3170303094657</v>
      </c>
      <c r="BT13" s="1"/>
      <c r="BU13" s="1"/>
      <c r="BV13" s="23"/>
      <c r="BW13" s="1"/>
      <c r="BX13" s="23"/>
      <c r="BY13" s="1"/>
    </row>
    <row r="14" spans="1:77" ht="64" x14ac:dyDescent="0.2">
      <c r="A14" s="14"/>
      <c r="B14" s="1070"/>
      <c r="C14" s="25" t="str">
        <f t="shared" ref="C14:C15" si="6">C62</f>
        <v>Orchard</v>
      </c>
      <c r="D14" s="929"/>
      <c r="E14" s="26"/>
      <c r="F14" s="44">
        <f>SUMIF($BV$52:$BV$151, $C14,F$52:F$151)</f>
        <v>0</v>
      </c>
      <c r="G14" s="44">
        <f>SUMIF($BV$52:$BV$151, $C14,G$52:G$151)</f>
        <v>0</v>
      </c>
      <c r="H14" s="45">
        <f>SUMIF($BV$52:$BV$151, $C14,H$52:H$151)</f>
        <v>0</v>
      </c>
      <c r="I14" s="26" t="str">
        <f ca="1">IFERROR(__xludf.DUMMYFUNCTION("ifna(JOIN(""; "", unique(FILTER(I$52:I$153,$CF$52:$CF$153=$C14,I$52:I$153&lt;&gt;""""))),"""")"),"")</f>
        <v/>
      </c>
      <c r="J14" s="46" t="str">
        <f ca="1">IFERROR(__xludf.DUMMYFUNCTION("ifna(JOIN(""; "", unique(FILTER(J$52:J$153,$CF$52:$CF$153=$C14,J$52:J$153&lt;&gt;""""))),"""")"),"")</f>
        <v/>
      </c>
      <c r="K14" s="47" t="str">
        <f>IFERROR((SUMIF($BV$52:$BV$151, $C14,L$52:L$151)/IF($H14&gt;0,$H14,SUM($F14:$G14))),"")</f>
        <v/>
      </c>
      <c r="L14" s="48">
        <f>SUMIF($BV$52:$BV$151, $C14,L$52:L$151)</f>
        <v>0</v>
      </c>
      <c r="M14" s="26" t="str">
        <f ca="1">IFERROR(__xludf.DUMMYFUNCTION("ifna(JOIN(""; "", unique(FILTER(M$52:M$153,$CF$52:$CF$153=$C14,M$52:M$153&lt;&gt;""""))),"""")"),"")</f>
        <v/>
      </c>
      <c r="N14" s="47" t="str">
        <f>IFERROR((SUMIF($BV$52:$BV$151, $C14,O$52:O$151)/IF($H14&gt;0,$H14,SUM($F14:$G14))),"")</f>
        <v/>
      </c>
      <c r="O14" s="48">
        <f>SUMIF($BV$52:$BV$151, $C14,O$52:O$151)</f>
        <v>0</v>
      </c>
      <c r="P14" s="48">
        <f t="shared" si="4"/>
        <v>0</v>
      </c>
      <c r="Q14" s="218" t="str">
        <f ca="1">IFERROR(__xludf.DUMMYFUNCTION("ifna(JOIN(""; "", unique(FILTER(Q$52:Q$153,$CF$52:$CF$153=$C14,Q$52:Q$153&lt;&gt;""""))),"""")"),"November")</f>
        <v>November</v>
      </c>
      <c r="R14" s="26" t="str">
        <f ca="1">IFERROR(__xludf.DUMMYFUNCTION("ifna(JOIN(""; "", unique(FILTER(R$52:R$153,$CF$52:$CF$153=$C14,R$52:R$153&lt;&gt;""""))),"""")"),"Check for die-off and replace any diseased / dead trees ")</f>
        <v xml:space="preserve">Check for die-off and replace any diseased / dead trees </v>
      </c>
      <c r="S14" s="26" t="str">
        <f ca="1">IFERROR(__xludf.DUMMYFUNCTION("ifna(JOIN(""; "", unique(FILTER(S$52:S$153,$CF$52:$CF$153=$C14,S$52:S$153&lt;&gt;""""))),"""")"),"1")</f>
        <v>1</v>
      </c>
      <c r="T14" s="47" t="str">
        <f>IFERROR((SUMIF($BV$52:$BV$151, $C14,U$52:U$151)/IF($H14&gt;0,$H14,SUM($F14:$G14))),"")</f>
        <v/>
      </c>
      <c r="U14" s="48">
        <f>SUMIF($BV$52:$BV$151, $C14,U$52:U$151)</f>
        <v>0</v>
      </c>
      <c r="V14" s="26" t="str">
        <f ca="1">IFERROR(__xludf.DUMMYFUNCTION("ifna(JOIN(""; "", unique(FILTER(V$52:V$153,$CF$52:$CF$153=$C14,V$52:V$153&lt;&gt;""""))),"""")"),"Light prune in year 4 or 5 then every 5 years thereafter. Volunteers can prune more if desired.")</f>
        <v>Light prune in year 4 or 5 then every 5 years thereafter. Volunteers can prune more if desired.</v>
      </c>
      <c r="W14" s="26" t="str">
        <f ca="1">IFERROR(__xludf.DUMMYFUNCTION("ifna(JOIN(""; "", unique(FILTER(W$52:W$153,$CF$52:$CF$153=$C14,W$52:W$153&lt;&gt;""""))),"""")"),"0.2")</f>
        <v>0.2</v>
      </c>
      <c r="X14" s="225" t="str">
        <f>IFERROR((SUMIF($BV$52:$BV$151, $C14,Y$52:Y$151)/IF($H14&gt;0,$H14,SUM($F14:$G14))),"")</f>
        <v/>
      </c>
      <c r="Y14" s="50">
        <f>SUMIF($BV$52:$BV$151, $C14,Y$52:Y$151)</f>
        <v>0</v>
      </c>
      <c r="Z14" s="1"/>
      <c r="AA14" s="154">
        <f>SUMIF($BV$52:$BV$151, $C14,AA$52:AA$151)</f>
        <v>0</v>
      </c>
      <c r="AB14" s="1"/>
      <c r="AC14" s="214"/>
      <c r="AD14" s="214"/>
      <c r="AE14" s="154">
        <f>SUMIF($BV$52:$BV$151, $C14,AE$52:AE$151)</f>
        <v>0</v>
      </c>
      <c r="AF14" s="154">
        <f>SUMIF($BV$52:$BV$151, $C14,AF$52:AF$151)</f>
        <v>0</v>
      </c>
      <c r="AG14" s="154">
        <f>SUMIF($BV$52:$BV$151, $C14,AG$52:AG$151)</f>
        <v>0</v>
      </c>
      <c r="AH14" s="154">
        <f>SUMIF($BV$52:$BV$151, $C14,AH$52:AH$151)</f>
        <v>0</v>
      </c>
      <c r="AI14" s="154">
        <f>SUMIF($BV$52:$BV$151, $C14,AI$52:AI$151)</f>
        <v>0</v>
      </c>
      <c r="AJ14" s="154">
        <f>SUMIF($BV$52:$BV$151, $C14,AJ$52:AJ$151)</f>
        <v>0</v>
      </c>
      <c r="AK14" s="154">
        <f>SUMIF($BV$52:$BV$151, $C14,AK$52:AK$151)</f>
        <v>0</v>
      </c>
      <c r="AL14" s="154">
        <f>SUMIF($BV$52:$BV$151, $C14,AL$52:AL$151)</f>
        <v>0</v>
      </c>
      <c r="AM14" s="154">
        <f>SUMIF($BV$52:$BV$151, $C14,AM$52:AM$151)</f>
        <v>0</v>
      </c>
      <c r="AN14" s="154">
        <f>SUMIF($BV$52:$BV$151, $C14,AN$52:AN$151)</f>
        <v>0</v>
      </c>
      <c r="AO14" s="154">
        <f>SUMIF($BV$52:$BV$151, $C14,AO$52:AO$151)</f>
        <v>0</v>
      </c>
      <c r="AP14" s="154">
        <f>SUMIF($BV$52:$BV$151, $C14,AP$52:AP$151)</f>
        <v>0</v>
      </c>
      <c r="AQ14" s="154">
        <f>SUMIF($BV$52:$BV$151, $C14,AQ$52:AQ$151)</f>
        <v>0</v>
      </c>
      <c r="AR14" s="154">
        <f>SUMIF($BV$52:$BV$151, $C14,AR$52:AR$151)</f>
        <v>0</v>
      </c>
      <c r="AS14" s="154">
        <f>SUMIF($BV$52:$BV$151, $C14,AS$52:AS$151)</f>
        <v>0</v>
      </c>
      <c r="AT14" s="154">
        <f>SUMIF($BV$52:$BV$151, $C14,AT$52:AT$151)</f>
        <v>0</v>
      </c>
      <c r="AU14" s="154">
        <f>SUMIF($BV$52:$BV$151, $C14,AU$52:AU$151)</f>
        <v>0</v>
      </c>
      <c r="AV14" s="154">
        <f>SUMIF($BV$52:$BV$151, $C14,AV$52:AV$151)</f>
        <v>0</v>
      </c>
      <c r="AW14" s="154">
        <f>SUMIF($BV$52:$BV$151, $C14,AW$52:AW$151)</f>
        <v>0</v>
      </c>
      <c r="AX14" s="154">
        <f>SUMIF($BV$52:$BV$151, $C14,AX$52:AX$151)</f>
        <v>0</v>
      </c>
      <c r="AY14" s="154">
        <f>SUMIF($BV$52:$BV$151, $C14,AY$52:AY$151)</f>
        <v>0</v>
      </c>
      <c r="AZ14" s="154">
        <f>SUMIF($BV$52:$BV$151, $C14,AZ$52:AZ$151)</f>
        <v>0</v>
      </c>
      <c r="BA14" s="154">
        <f>SUMIF($BV$52:$BV$151, $C14,BA$52:BA$151)</f>
        <v>0</v>
      </c>
      <c r="BB14" s="154">
        <f>SUMIF($BV$52:$BV$151, $C14,BB$52:BB$151)</f>
        <v>0</v>
      </c>
      <c r="BC14" s="154">
        <f>SUMIF($BV$52:$BV$151, $C14,BC$52:BC$151)</f>
        <v>0</v>
      </c>
      <c r="BD14" s="154">
        <f>SUMIF($BV$52:$BV$151, $C14,BD$52:BD$151)</f>
        <v>0</v>
      </c>
      <c r="BE14" s="154">
        <f>SUMIF($BV$52:$BV$151, $C14,BE$52:BE$151)</f>
        <v>0</v>
      </c>
      <c r="BF14" s="154">
        <f>SUMIF($BV$52:$BV$151, $C14,BF$52:BF$151)</f>
        <v>0</v>
      </c>
      <c r="BG14" s="154">
        <f>SUMIF($BV$52:$BV$151, $C14,BG$52:BG$151)</f>
        <v>0</v>
      </c>
      <c r="BH14" s="154">
        <f>SUMIF($BV$52:$BV$151, $C14,BH$52:BH$151)</f>
        <v>0</v>
      </c>
      <c r="BI14" s="154">
        <f>SUMIF($BV$52:$BV$151, $C14,BI$52:BI$151)</f>
        <v>0</v>
      </c>
      <c r="BJ14" s="154">
        <f>SUMIF($BV$52:$BV$151, $C14,BJ$52:BJ$151)</f>
        <v>0</v>
      </c>
      <c r="BK14" s="154">
        <f>SUMIF($BV$52:$BV$151, $C14,BK$52:BK$151)</f>
        <v>0</v>
      </c>
      <c r="BL14" s="154">
        <f>SUMIF($BV$52:$BV$151, $C14,BL$52:BL$151)</f>
        <v>0</v>
      </c>
      <c r="BM14" s="154">
        <f>SUMIF($BV$52:$BV$151, $C14,BM$52:BM$151)</f>
        <v>0</v>
      </c>
      <c r="BN14" s="154">
        <f>SUMIF($BV$52:$BV$151, $C14,BN$52:BN$151)</f>
        <v>0</v>
      </c>
      <c r="BO14" s="154">
        <f>SUMIF($BV$52:$BV$151, $C14,BO$52:BO$151)</f>
        <v>0</v>
      </c>
      <c r="BP14" s="154">
        <f>SUMIF($BV$52:$BV$151, $C14,BP$52:BP$151)</f>
        <v>0</v>
      </c>
      <c r="BQ14" s="154">
        <f>SUMIF($BV$52:$BV$151, $C14,BQ$52:BQ$151)</f>
        <v>0</v>
      </c>
      <c r="BR14" s="154">
        <f>SUMIF($BV$52:$BV$151, $C14,BR$52:BR$151)</f>
        <v>0</v>
      </c>
      <c r="BS14" s="154">
        <f>SUMIF($BV$52:$BV$151, $C14,BS$52:BS$151)</f>
        <v>0</v>
      </c>
      <c r="BT14" s="1"/>
      <c r="BU14" s="1"/>
      <c r="BV14" s="23"/>
      <c r="BW14" s="1"/>
      <c r="BX14" s="23"/>
      <c r="BY14" s="1"/>
    </row>
    <row r="15" spans="1:77" ht="48" x14ac:dyDescent="0.15">
      <c r="A15" s="14"/>
      <c r="B15" s="1070"/>
      <c r="C15" s="34" t="str">
        <f t="shared" si="6"/>
        <v>Hedgerows</v>
      </c>
      <c r="D15" s="220"/>
      <c r="E15" s="28" t="str">
        <f ca="1">IFERROR(__xludf.DUMMYFUNCTION("ifna(JOIN(""; "", unique(FILTER(E$52:E$153,$CF$52:$CF$153=$C15,E$52:E$153&lt;&gt;""""))),"""")"),"Along main road boundary; Western corner; Along southern boundary")</f>
        <v>Along main road boundary; Western corner; Along southern boundary</v>
      </c>
      <c r="F15" s="24">
        <f>SUMIF($BV$52:$BV$151, $C15,F$52:F$151)</f>
        <v>0.12</v>
      </c>
      <c r="G15" s="24">
        <f>SUMIF($BV$52:$BV$151, $C15,G$52:G$151)</f>
        <v>2.1400000000000006</v>
      </c>
      <c r="H15" s="27">
        <f>SUMIF($BV$52:$BV$151, $C15,H$52:H$151)</f>
        <v>12440.000000000002</v>
      </c>
      <c r="I15" s="28" t="str">
        <f ca="1">IFERROR(__xludf.DUMMYFUNCTION("ifna(JOIN(""; "", unique(FILTER(I$52:I$153,$CF$52:$CF$153=$C15,I$52:I$153&lt;&gt;""""))),"""")"),"Mix hedgerow; Mixed Species (3); Temporary Screening Crop")</f>
        <v>Mix hedgerow; Mixed Species (3); Temporary Screening Crop</v>
      </c>
      <c r="J15" s="29" t="str">
        <f ca="1">IFERROR(__xludf.DUMMYFUNCTION("ifna(JOIN(""; "", unique(FILTER(J$52:J$153,$CF$52:$CF$153=$C15,J$52:J$153&lt;&gt;""""))),"""")"),"")</f>
        <v/>
      </c>
      <c r="K15" s="30">
        <f>IFERROR((SUMIF($BV$52:$BV$151, $C15,L$52:L$151)/IF($H15&gt;0,$H15,SUM($F15:$G15))),"")</f>
        <v>1.4404408360128618</v>
      </c>
      <c r="L15" s="31">
        <f>SUMIF($BV$52:$BV$151, $C15,L$52:L$151)</f>
        <v>17919.084000000003</v>
      </c>
      <c r="M15" s="28" t="str">
        <f ca="1">IFERROR(__xludf.DUMMYFUNCTION("ifna(JOIN(""; "", unique(FILTER(M$52:M$153,$CF$52:$CF$153=$C15,M$52:M$153&lt;&gt;""""))),"""")"),"")</f>
        <v/>
      </c>
      <c r="N15" s="30">
        <f>IFERROR((SUMIF($BV$52:$BV$151, $C15,O$52:O$151)/IF($H15&gt;0,$H15,SUM($F15:$G15))),"")</f>
        <v>1.1141479099678457</v>
      </c>
      <c r="O15" s="31">
        <f>SUMIF($BV$52:$BV$151, $C15,O$52:O$151)</f>
        <v>13860.000000000004</v>
      </c>
      <c r="P15" s="31">
        <f t="shared" si="4"/>
        <v>31779.084000000006</v>
      </c>
      <c r="Q15" s="26" t="str">
        <f ca="1">IFERROR(__xludf.DUMMYFUNCTION("ifna(JOIN(""; "", unique(FILTER(Q$52:Q$153,$CF$52:$CF$153=$C15,Q$52:Q$153&lt;&gt;""""))),"""")"),"November; None ")</f>
        <v xml:space="preserve">November; None </v>
      </c>
      <c r="R15" s="28" t="str">
        <f ca="1">IFERROR(__xludf.DUMMYFUNCTION("ifna(JOIN(""; "", unique(FILTER(R$52:R$153,$CF$52:$CF$153=$C15,R$52:R$153&lt;&gt;""""))),"""")"),"Check for die-off and replace any diseased / dead whips ")</f>
        <v xml:space="preserve">Check for die-off and replace any diseased / dead whips </v>
      </c>
      <c r="S15" s="28" t="str">
        <f ca="1">IFERROR(__xludf.DUMMYFUNCTION("ifna(JOIN(""; "", unique(FILTER(S$52:S$153,$CF$52:$CF$153=$C15,S$52:S$153&lt;&gt;""""))),"""")"),"1")</f>
        <v>1</v>
      </c>
      <c r="T15" s="30">
        <f>IFERROR((SUMIF($BV$52:$BV$151, $C15,U$52:U$151)/IF($H15&gt;0,$H15,SUM($F15:$G15))),"")</f>
        <v>0.12531786173633444</v>
      </c>
      <c r="U15" s="31">
        <f>SUMIF($BV$52:$BV$151, $C15,U$52:U$151)</f>
        <v>1558.9542000000006</v>
      </c>
      <c r="V15" s="28" t="str">
        <f ca="1">IFERROR(__xludf.DUMMYFUNCTION("ifna(JOIN(""; "", unique(FILTER(V$52:V$153,$CF$52:$CF$153=$C15,V$52:V$153&lt;&gt;""""))),"""")"),"Trim with a flail ; Removal in year 5? ")</f>
        <v xml:space="preserve">Trim with a flail ; Removal in year 5? </v>
      </c>
      <c r="W15" s="28" t="str">
        <f ca="1">IFERROR(__xludf.DUMMYFUNCTION("ifna(JOIN(""; "", unique(FILTER(W$52:W$153,$CF$52:$CF$153=$C15,W$52:W$153&lt;&gt;""""))),"""")"),"0.3")</f>
        <v>0.3</v>
      </c>
      <c r="X15" s="219">
        <f>IFERROR((SUMIF($BV$52:$BV$151, $C15,Y$52:Y$151)/IF($H15&gt;0,$H15,SUM($F15:$G15))),"")</f>
        <v>4.5969453376205789E-2</v>
      </c>
      <c r="Y15" s="33">
        <f>SUMIF($BV$52:$BV$151, $C15,Y$52:Y$151)</f>
        <v>571.86000000000013</v>
      </c>
      <c r="Z15" s="1"/>
      <c r="AA15" s="154">
        <f>SUMIF($BV$52:$BV$151, $C15,AA$52:AA$151)</f>
        <v>39747.945990877408</v>
      </c>
      <c r="AB15" s="1"/>
      <c r="AC15" s="214"/>
      <c r="AD15" s="214"/>
      <c r="AE15" s="154">
        <f>SUMIF($BV$52:$BV$151, $C15,AE$52:AE$151)</f>
        <v>31779.08400000001</v>
      </c>
      <c r="AF15" s="154">
        <f>SUMIF($BV$52:$BV$151, $C15,AF$52:AF$151)</f>
        <v>1597.9280550000003</v>
      </c>
      <c r="AG15" s="154">
        <f>SUMIF($BV$52:$BV$151, $C15,AG$52:AG$151)</f>
        <v>1637.8762563750006</v>
      </c>
      <c r="AH15" s="154">
        <f>SUMIF($BV$52:$BV$151, $C15,AH$52:AH$151)</f>
        <v>1678.8231627843752</v>
      </c>
      <c r="AI15" s="154">
        <f>SUMIF($BV$52:$BV$151, $C15,AI$52:AI$151)</f>
        <v>233.85379900781251</v>
      </c>
      <c r="AJ15" s="154">
        <f>SUMIF($BV$52:$BV$151, $C15,AJ$52:AJ$151)</f>
        <v>657.18977453964828</v>
      </c>
      <c r="AK15" s="154">
        <f>SUMIF($BV$52:$BV$151, $C15,AK$52:AK$151)</f>
        <v>245.69264758258296</v>
      </c>
      <c r="AL15" s="154">
        <f>SUMIF($BV$52:$BV$151, $C15,AL$52:AL$151)</f>
        <v>251.83496377214757</v>
      </c>
      <c r="AM15" s="154">
        <f>SUMIF($BV$52:$BV$151, $C15,AM$52:AM$151)</f>
        <v>258.13083786645126</v>
      </c>
      <c r="AN15" s="154">
        <f>SUMIF($BV$52:$BV$151, $C15,AN$52:AN$151)</f>
        <v>264.58410881311249</v>
      </c>
      <c r="AO15" s="154">
        <f>SUMIF($BV$52:$BV$151, $C15,AO$52:AO$151)</f>
        <v>271.19871153344025</v>
      </c>
      <c r="AP15" s="154">
        <f>SUMIF($BV$52:$BV$151, $C15,AP$52:AP$151)</f>
        <v>277.97867932177627</v>
      </c>
      <c r="AQ15" s="154">
        <f>SUMIF($BV$52:$BV$151, $C15,AQ$52:AQ$151)</f>
        <v>284.9281463048207</v>
      </c>
      <c r="AR15" s="154">
        <f>SUMIF($BV$52:$BV$151, $C15,AR$52:AR$151)</f>
        <v>292.05134996244112</v>
      </c>
      <c r="AS15" s="154">
        <f>SUMIF($BV$52:$BV$151, $C15,AS$52:AS$151)</f>
        <v>299.35263371150216</v>
      </c>
      <c r="AT15" s="154">
        <f>SUMIF($BV$52:$BV$151, $C15,AT$52:AT$151)</f>
        <v>306.8364495542898</v>
      </c>
      <c r="AU15" s="154">
        <f>SUMIF($BV$52:$BV$151, $C15,AU$52:AU$151)</f>
        <v>314.50736079314697</v>
      </c>
      <c r="AV15" s="154">
        <f>SUMIF($BV$52:$BV$151, $C15,AV$52:AV$151)</f>
        <v>322.37004481297566</v>
      </c>
      <c r="AW15" s="154">
        <f>SUMIF($BV$52:$BV$151, $C15,AW$52:AW$151)</f>
        <v>330.42929593330001</v>
      </c>
      <c r="AX15" s="154">
        <f>SUMIF($BV$52:$BV$151, $C15,AX$52:AX$151)</f>
        <v>338.69002833163256</v>
      </c>
      <c r="AY15" s="154">
        <f>SUMIF($BV$52:$BV$151, $C15,AY$52:AY$151)</f>
        <v>347.15727903992331</v>
      </c>
      <c r="AZ15" s="154">
        <f>SUMIF($BV$52:$BV$151, $C15,AZ$52:AZ$151)</f>
        <v>355.83621101592132</v>
      </c>
      <c r="BA15" s="154">
        <f>SUMIF($BV$52:$BV$151, $C15,BA$52:BA$151)</f>
        <v>364.73211629131941</v>
      </c>
      <c r="BB15" s="154">
        <f>SUMIF($BV$52:$BV$151, $C15,BB$52:BB$151)</f>
        <v>373.85041919860237</v>
      </c>
      <c r="BC15" s="154">
        <f>SUMIF($BV$52:$BV$151, $C15,BC$52:BC$151)</f>
        <v>383.19667967856742</v>
      </c>
      <c r="BD15" s="154">
        <f>SUMIF($BV$52:$BV$151, $C15,BD$52:BD$151)</f>
        <v>392.77659667053155</v>
      </c>
      <c r="BE15" s="154">
        <f>SUMIF($BV$52:$BV$151, $C15,BE$52:BE$151)</f>
        <v>402.59601158729475</v>
      </c>
      <c r="BF15" s="154">
        <f>SUMIF($BV$52:$BV$151, $C15,BF$52:BF$151)</f>
        <v>412.6609118769772</v>
      </c>
      <c r="BG15" s="154">
        <f>SUMIF($BV$52:$BV$151, $C15,BG$52:BG$151)</f>
        <v>422.97743467390154</v>
      </c>
      <c r="BH15" s="154">
        <f>SUMIF($BV$52:$BV$151, $C15,BH$52:BH$151)</f>
        <v>433.55187054074912</v>
      </c>
      <c r="BI15" s="154">
        <f>SUMIF($BV$52:$BV$151, $C15,BI$52:BI$151)</f>
        <v>444.39066730426771</v>
      </c>
      <c r="BJ15" s="154">
        <f>SUMIF($BV$52:$BV$151, $C15,BJ$52:BJ$151)</f>
        <v>455.50043398687455</v>
      </c>
      <c r="BK15" s="154">
        <f>SUMIF($BV$52:$BV$151, $C15,BK$52:BK$151)</f>
        <v>466.88794483654635</v>
      </c>
      <c r="BL15" s="154">
        <f>SUMIF($BV$52:$BV$151, $C15,BL$52:BL$151)</f>
        <v>478.56014345745996</v>
      </c>
      <c r="BM15" s="154">
        <f>SUMIF($BV$52:$BV$151, $C15,BM$52:BM$151)</f>
        <v>490.52414704389645</v>
      </c>
      <c r="BN15" s="154">
        <f>SUMIF($BV$52:$BV$151, $C15,BN$52:BN$151)</f>
        <v>502.78725071999378</v>
      </c>
      <c r="BO15" s="154">
        <f>SUMIF($BV$52:$BV$151, $C15,BO$52:BO$151)</f>
        <v>515.35693198799368</v>
      </c>
      <c r="BP15" s="154">
        <f>SUMIF($BV$52:$BV$151, $C15,BP$52:BP$151)</f>
        <v>528.24085528769342</v>
      </c>
      <c r="BQ15" s="154">
        <f>SUMIF($BV$52:$BV$151, $C15,BQ$52:BQ$151)</f>
        <v>541.44687666988568</v>
      </c>
      <c r="BR15" s="154">
        <f>SUMIF($BV$52:$BV$151, $C15,BR$52:BR$151)</f>
        <v>554.98304858663289</v>
      </c>
      <c r="BS15" s="154">
        <f>SUMIF($BV$52:$BV$151, $C15,BS$52:BS$151)</f>
        <v>568.85762480129858</v>
      </c>
      <c r="BT15" s="1"/>
      <c r="BU15" s="1"/>
      <c r="BV15" s="23"/>
      <c r="BW15" s="1"/>
      <c r="BX15" s="23"/>
      <c r="BY15" s="1"/>
    </row>
    <row r="16" spans="1:77" ht="64" x14ac:dyDescent="0.15">
      <c r="A16" s="14"/>
      <c r="B16" s="1071"/>
      <c r="C16" s="51" t="str">
        <f>C67</f>
        <v>Trees</v>
      </c>
      <c r="D16" s="226"/>
      <c r="E16" s="52" t="str">
        <f ca="1">IFERROR(__xludf.DUMMYFUNCTION("ifna(JOIN(""; "", unique(FILTER(E$52:E$153,$CF$52:$CF$153=$C16,E$52:E$153&lt;&gt;""""))),"""")"),"Selected locations along the hedgrow shown in plan. Each tree is staked and strapped")</f>
        <v>Selected locations along the hedgrow shown in plan. Each tree is staked and strapped</v>
      </c>
      <c r="F16" s="53">
        <f>SUMIF($BV$52:$BV$151, $C16,F$52:F$151)</f>
        <v>0</v>
      </c>
      <c r="G16" s="53">
        <f>SUMIF($BV$52:$BV$151, $C16,G$52:G$151)</f>
        <v>1.5</v>
      </c>
      <c r="H16" s="54">
        <f>SUMIF($BV$52:$BV$151, $C16,H$52:H$151)</f>
        <v>60</v>
      </c>
      <c r="I16" s="52" t="str">
        <f ca="1">IFERROR(__xludf.DUMMYFUNCTION("ifna(JOIN(""; "", unique(FILTER(I$52:I$153,$CF$52:$CF$153=$C16,I$52:I$153&lt;&gt;""""))),"""")"),"5 species")</f>
        <v>5 species</v>
      </c>
      <c r="J16" s="55" t="str">
        <f ca="1">IFERROR(__xludf.DUMMYFUNCTION("ifna(JOIN(""; "", unique(FILTER(J$52:J$153,$CF$52:$CF$153=$C16,J$52:J$153&lt;&gt;""""))),"""")"),"TBD")</f>
        <v>TBD</v>
      </c>
      <c r="K16" s="56">
        <f>IFERROR((SUMIF($BV$52:$BV$151, $C16,L$52:L$151)/IF($H16&gt;0,$H16,SUM($F16:$G16))),"")</f>
        <v>70</v>
      </c>
      <c r="L16" s="57">
        <f>SUMIF($BV$52:$BV$151, $C16,L$52:L$151)</f>
        <v>4200</v>
      </c>
      <c r="M16" s="52" t="str">
        <f ca="1">IFERROR(__xludf.DUMMYFUNCTION("ifna(JOIN(""; "", unique(FILTER(M$52:M$153,$CF$52:$CF$153=$C16,M$52:M$153&lt;&gt;""""))),"""")"),"")</f>
        <v/>
      </c>
      <c r="N16" s="56">
        <f>IFERROR((SUMIF($BV$52:$BV$151, $C16,O$52:O$151)/IF($H16&gt;0,$H16,SUM($F16:$G16))),"")</f>
        <v>25</v>
      </c>
      <c r="O16" s="57">
        <f>SUMIF($BV$52:$BV$151, $C16,O$52:O$151)</f>
        <v>1500</v>
      </c>
      <c r="P16" s="57">
        <f t="shared" si="4"/>
        <v>5700</v>
      </c>
      <c r="Q16" s="66" t="str">
        <f ca="1">IFERROR(__xludf.DUMMYFUNCTION("ifna(JOIN(""; "", unique(FILTER(Q$52:Q$153,$CF$52:$CF$153=$C16,Q$52:Q$153&lt;&gt;""""))),"""")"),"November")</f>
        <v>November</v>
      </c>
      <c r="R16" s="52" t="str">
        <f ca="1">IFERROR(__xludf.DUMMYFUNCTION("ifna(JOIN(""; "", unique(FILTER(R$52:R$153,$CF$52:$CF$153=$C16,R$52:R$153&lt;&gt;""""))),"""")"),"Check for die-off and replace any diseased / dead trees ")</f>
        <v xml:space="preserve">Check for die-off and replace any diseased / dead trees </v>
      </c>
      <c r="S16" s="52" t="str">
        <f ca="1">IFERROR(__xludf.DUMMYFUNCTION("ifna(JOIN(""; "", unique(FILTER(S$52:S$153,$CF$52:$CF$153=$C16,S$52:S$153&lt;&gt;""""))),"""")"),"1")</f>
        <v>1</v>
      </c>
      <c r="T16" s="56">
        <f>IFERROR((SUMIF($BV$52:$BV$151, $C16,U$52:U$151)/IF($H16&gt;0,$H16,SUM($F16:$G16))),"")</f>
        <v>3.75</v>
      </c>
      <c r="U16" s="57">
        <f>SUMIF($BV$52:$BV$151, $C16,U$52:U$151)</f>
        <v>225</v>
      </c>
      <c r="V16" s="52" t="str">
        <f ca="1">IFERROR(__xludf.DUMMYFUNCTION("ifna(JOIN(""; "", unique(FILTER(V$52:V$153,$CF$52:$CF$153=$C16,V$52:V$153&lt;&gt;""""))),"""")"),"None ")</f>
        <v xml:space="preserve">None </v>
      </c>
      <c r="W16" s="52" t="str">
        <f ca="1">IFERROR(__xludf.DUMMYFUNCTION("ifna(JOIN(""; "", unique(FILTER(W$52:W$153,$CF$52:$CF$153=$C16,W$52:W$153&lt;&gt;""""))),"""")"),"")</f>
        <v/>
      </c>
      <c r="X16" s="221">
        <f>IFERROR((SUMIF($BV$52:$BV$151, $C16,Y$52:Y$151)/IF($H16&gt;0,$H16,SUM($F16:$G16))),"")</f>
        <v>0</v>
      </c>
      <c r="Y16" s="58">
        <f>SUMIF($BV$52:$BV$151, $C16,Y$52:Y$151)</f>
        <v>0</v>
      </c>
      <c r="Z16" s="1"/>
      <c r="AA16" s="154">
        <f>SUMIF($BV$52:$BV$151, $C16,AA$52:AA$151)</f>
        <v>6319.7994044902916</v>
      </c>
      <c r="AB16" s="1"/>
      <c r="AC16" s="214"/>
      <c r="AD16" s="214"/>
      <c r="AE16" s="154">
        <f>SUMIF($BV$52:$BV$151, $C16,AE$52:AE$151)</f>
        <v>5700</v>
      </c>
      <c r="AF16" s="154">
        <f>SUMIF($BV$52:$BV$151, $C16,AF$52:AF$151)</f>
        <v>230.62499999999997</v>
      </c>
      <c r="AG16" s="154">
        <f>SUMIF($BV$52:$BV$151, $C16,AG$52:AG$151)</f>
        <v>236.39062499999997</v>
      </c>
      <c r="AH16" s="154">
        <f>SUMIF($BV$52:$BV$151, $C16,AH$52:AH$151)</f>
        <v>242.30039062499998</v>
      </c>
      <c r="AI16" s="154">
        <f>SUMIF($BV$52:$BV$151, $C16,AI$52:AI$151)</f>
        <v>0</v>
      </c>
      <c r="AJ16" s="154">
        <f>SUMIF($BV$52:$BV$151, $C16,AJ$52:AJ$151)</f>
        <v>0</v>
      </c>
      <c r="AK16" s="154">
        <f>SUMIF($BV$52:$BV$151, $C16,AK$52:AK$151)</f>
        <v>0</v>
      </c>
      <c r="AL16" s="154">
        <f>SUMIF($BV$52:$BV$151, $C16,AL$52:AL$151)</f>
        <v>0</v>
      </c>
      <c r="AM16" s="154">
        <f>SUMIF($BV$52:$BV$151, $C16,AM$52:AM$151)</f>
        <v>0</v>
      </c>
      <c r="AN16" s="154">
        <f>SUMIF($BV$52:$BV$151, $C16,AN$52:AN$151)</f>
        <v>0</v>
      </c>
      <c r="AO16" s="154">
        <f>SUMIF($BV$52:$BV$151, $C16,AO$52:AO$151)</f>
        <v>0</v>
      </c>
      <c r="AP16" s="154">
        <f>SUMIF($BV$52:$BV$151, $C16,AP$52:AP$151)</f>
        <v>0</v>
      </c>
      <c r="AQ16" s="154">
        <f>SUMIF($BV$52:$BV$151, $C16,AQ$52:AQ$151)</f>
        <v>0</v>
      </c>
      <c r="AR16" s="154">
        <f>SUMIF($BV$52:$BV$151, $C16,AR$52:AR$151)</f>
        <v>0</v>
      </c>
      <c r="AS16" s="154">
        <f>SUMIF($BV$52:$BV$151, $C16,AS$52:AS$151)</f>
        <v>0</v>
      </c>
      <c r="AT16" s="154">
        <f>SUMIF($BV$52:$BV$151, $C16,AT$52:AT$151)</f>
        <v>0</v>
      </c>
      <c r="AU16" s="154">
        <f>SUMIF($BV$52:$BV$151, $C16,AU$52:AU$151)</f>
        <v>0</v>
      </c>
      <c r="AV16" s="154">
        <f>SUMIF($BV$52:$BV$151, $C16,AV$52:AV$151)</f>
        <v>0</v>
      </c>
      <c r="AW16" s="154">
        <f>SUMIF($BV$52:$BV$151, $C16,AW$52:AW$151)</f>
        <v>0</v>
      </c>
      <c r="AX16" s="154">
        <f>SUMIF($BV$52:$BV$151, $C16,AX$52:AX$151)</f>
        <v>0</v>
      </c>
      <c r="AY16" s="154">
        <f>SUMIF($BV$52:$BV$151, $C16,AY$52:AY$151)</f>
        <v>0</v>
      </c>
      <c r="AZ16" s="154">
        <f>SUMIF($BV$52:$BV$151, $C16,AZ$52:AZ$151)</f>
        <v>0</v>
      </c>
      <c r="BA16" s="154">
        <f>SUMIF($BV$52:$BV$151, $C16,BA$52:BA$151)</f>
        <v>0</v>
      </c>
      <c r="BB16" s="154">
        <f>SUMIF($BV$52:$BV$151, $C16,BB$52:BB$151)</f>
        <v>0</v>
      </c>
      <c r="BC16" s="154">
        <f>SUMIF($BV$52:$BV$151, $C16,BC$52:BC$151)</f>
        <v>0</v>
      </c>
      <c r="BD16" s="154">
        <f>SUMIF($BV$52:$BV$151, $C16,BD$52:BD$151)</f>
        <v>0</v>
      </c>
      <c r="BE16" s="154">
        <f>SUMIF($BV$52:$BV$151, $C16,BE$52:BE$151)</f>
        <v>0</v>
      </c>
      <c r="BF16" s="154">
        <f>SUMIF($BV$52:$BV$151, $C16,BF$52:BF$151)</f>
        <v>0</v>
      </c>
      <c r="BG16" s="154">
        <f>SUMIF($BV$52:$BV$151, $C16,BG$52:BG$151)</f>
        <v>0</v>
      </c>
      <c r="BH16" s="154">
        <f>SUMIF($BV$52:$BV$151, $C16,BH$52:BH$151)</f>
        <v>0</v>
      </c>
      <c r="BI16" s="154">
        <f>SUMIF($BV$52:$BV$151, $C16,BI$52:BI$151)</f>
        <v>0</v>
      </c>
      <c r="BJ16" s="154">
        <f>SUMIF($BV$52:$BV$151, $C16,BJ$52:BJ$151)</f>
        <v>0</v>
      </c>
      <c r="BK16" s="154">
        <f>SUMIF($BV$52:$BV$151, $C16,BK$52:BK$151)</f>
        <v>0</v>
      </c>
      <c r="BL16" s="154">
        <f>SUMIF($BV$52:$BV$151, $C16,BL$52:BL$151)</f>
        <v>0</v>
      </c>
      <c r="BM16" s="154">
        <f>SUMIF($BV$52:$BV$151, $C16,BM$52:BM$151)</f>
        <v>0</v>
      </c>
      <c r="BN16" s="154">
        <f>SUMIF($BV$52:$BV$151, $C16,BN$52:BN$151)</f>
        <v>0</v>
      </c>
      <c r="BO16" s="154">
        <f>SUMIF($BV$52:$BV$151, $C16,BO$52:BO$151)</f>
        <v>0</v>
      </c>
      <c r="BP16" s="154">
        <f>SUMIF($BV$52:$BV$151, $C16,BP$52:BP$151)</f>
        <v>0</v>
      </c>
      <c r="BQ16" s="154">
        <f>SUMIF($BV$52:$BV$151, $C16,BQ$52:BQ$151)</f>
        <v>0</v>
      </c>
      <c r="BR16" s="154">
        <f>SUMIF($BV$52:$BV$151, $C16,BR$52:BR$151)</f>
        <v>0</v>
      </c>
      <c r="BS16" s="154">
        <f>SUMIF($BV$52:$BV$151, $C16,BS$52:BS$151)</f>
        <v>0</v>
      </c>
      <c r="BT16" s="1"/>
      <c r="BU16" s="1"/>
      <c r="BV16" s="23"/>
      <c r="BW16" s="1"/>
      <c r="BX16" s="23"/>
      <c r="BY16" s="1"/>
    </row>
    <row r="17" spans="1:77" ht="32" x14ac:dyDescent="0.15">
      <c r="A17" s="14"/>
      <c r="B17" s="227" t="str">
        <f t="shared" ref="B17:C17" si="7">B69</f>
        <v>Soils</v>
      </c>
      <c r="C17" s="228" t="str">
        <f t="shared" si="7"/>
        <v>Decompact compacted areas</v>
      </c>
      <c r="D17" s="229"/>
      <c r="E17" s="230" t="str">
        <f ca="1">IFERROR(__xludf.DUMMYFUNCTION("ifna(JOIN(""; "", unique(FILTER(E$52:E$153,$CF$52:$CF$153=$C17,E$52:E$153&lt;&gt;""""))),"""")"),"")</f>
        <v/>
      </c>
      <c r="F17" s="231">
        <f>SUMIF($BV$52:$BV$151, $C17,F$52:F$151)</f>
        <v>0</v>
      </c>
      <c r="G17" s="231">
        <f>SUMIF($BV$52:$BV$151, $C17,G$52:G$151)</f>
        <v>0</v>
      </c>
      <c r="H17" s="232">
        <f>SUMIF($BV$52:$BV$151, $C17,H$52:H$151)</f>
        <v>0</v>
      </c>
      <c r="I17" s="230" t="str">
        <f ca="1">IFERROR(__xludf.DUMMYFUNCTION("ifna(JOIN(""; "", unique(FILTER(I$52:I$153,$CF$52:$CF$153=$C17,I$52:I$153&lt;&gt;""""))),"""")"),"")</f>
        <v/>
      </c>
      <c r="J17" s="233" t="str">
        <f ca="1">IFERROR(__xludf.DUMMYFUNCTION("ifna(JOIN(""; "", unique(FILTER(J$52:J$153,$CF$52:$CF$153=$C17,J$52:J$153&lt;&gt;""""))),"""")"),"")</f>
        <v/>
      </c>
      <c r="K17" s="234" t="str">
        <f>IFERROR((SUMIF($BV$52:$BV$151, $C17,L$52:L$151)/IF($H17&gt;0,$H17,SUM($F17:$G17))),"")</f>
        <v/>
      </c>
      <c r="L17" s="235">
        <f>SUMIF($BV$52:$BV$151, $C17,L$52:L$151)</f>
        <v>0</v>
      </c>
      <c r="M17" s="230" t="str">
        <f ca="1">IFERROR(__xludf.DUMMYFUNCTION("ifna(JOIN(""; "", unique(FILTER(M$52:M$153,$CF$52:$CF$153=$C17,M$52:M$153&lt;&gt;""""))),"""")"),"")</f>
        <v/>
      </c>
      <c r="N17" s="234" t="str">
        <f>IFERROR((SUMIF($BV$52:$BV$151, $C17,O$52:O$151)/IF($H17&gt;0,$H17,SUM($F17:$G17))),"")</f>
        <v/>
      </c>
      <c r="O17" s="235">
        <f>SUMIF($BV$52:$BV$151, $C17,O$52:O$151)</f>
        <v>0</v>
      </c>
      <c r="P17" s="235">
        <f t="shared" si="4"/>
        <v>0</v>
      </c>
      <c r="Q17" s="236" t="str">
        <f ca="1">IFERROR(__xludf.DUMMYFUNCTION("ifna(JOIN(""; "", unique(FILTER(Q$52:Q$153,$CF$52:$CF$153=$C17,Q$52:Q$153&lt;&gt;""""))),"""")"),"-")</f>
        <v>-</v>
      </c>
      <c r="R17" s="230" t="str">
        <f ca="1">IFERROR(__xludf.DUMMYFUNCTION("ifna(JOIN(""; "", unique(FILTER(R$52:R$153,$CF$52:$CF$153=$C17,R$52:R$153&lt;&gt;""""))),"""")"),"-")</f>
        <v>-</v>
      </c>
      <c r="S17" s="230" t="str">
        <f ca="1">IFERROR(__xludf.DUMMYFUNCTION("ifna(JOIN(""; "", unique(FILTER(S$52:S$153,$CF$52:$CF$153=$C17,S$52:S$153&lt;&gt;""""))),"""")"),"-")</f>
        <v>-</v>
      </c>
      <c r="T17" s="234" t="str">
        <f>IFERROR((SUMIF($BV$52:$BV$151, $C17,U$52:U$151)/IF($H17&gt;0,$H17,SUM($F17:$G17))),"")</f>
        <v/>
      </c>
      <c r="U17" s="235">
        <f>SUMIF($BV$52:$BV$151, $C17,U$52:U$151)</f>
        <v>0</v>
      </c>
      <c r="V17" s="230" t="str">
        <f ca="1">IFERROR(__xludf.DUMMYFUNCTION("ifna(JOIN(""; "", unique(FILTER(V$52:V$153,$CF$52:$CF$153=$C17,V$52:V$153&lt;&gt;""""))),"""")"),"")</f>
        <v/>
      </c>
      <c r="W17" s="230" t="str">
        <f ca="1">IFERROR(__xludf.DUMMYFUNCTION("ifna(JOIN(""; "", unique(FILTER(W$52:W$153,$CF$52:$CF$153=$C17,W$52:W$153&lt;&gt;""""))),"""")"),"")</f>
        <v/>
      </c>
      <c r="X17" s="237" t="str">
        <f>IFERROR((SUMIF($BV$52:$BV$151, $C17,Y$52:Y$151)/IF($H17&gt;0,$H17,SUM($F17:$G17))),"")</f>
        <v/>
      </c>
      <c r="Y17" s="238">
        <f>SUMIF($BV$52:$BV$151, $C17,Y$52:Y$151)</f>
        <v>0</v>
      </c>
      <c r="Z17" s="1"/>
      <c r="AA17" s="154">
        <f>SUMIF($BV$52:$BV$151, $C17,AA$52:AA$151)</f>
        <v>0</v>
      </c>
      <c r="AB17" s="1"/>
      <c r="AC17" s="214"/>
      <c r="AD17" s="214"/>
      <c r="AE17" s="154">
        <f>SUMIF($BV$52:$BV$151, $C17,AE$52:AE$151)</f>
        <v>0</v>
      </c>
      <c r="AF17" s="154">
        <f>SUMIF($BV$52:$BV$151, $C17,AF$52:AF$151)</f>
        <v>0</v>
      </c>
      <c r="AG17" s="154">
        <f>SUMIF($BV$52:$BV$151, $C17,AG$52:AG$151)</f>
        <v>0</v>
      </c>
      <c r="AH17" s="154">
        <f>SUMIF($BV$52:$BV$151, $C17,AH$52:AH$151)</f>
        <v>0</v>
      </c>
      <c r="AI17" s="154">
        <f>SUMIF($BV$52:$BV$151, $C17,AI$52:AI$151)</f>
        <v>0</v>
      </c>
      <c r="AJ17" s="154">
        <f>SUMIF($BV$52:$BV$151, $C17,AJ$52:AJ$151)</f>
        <v>0</v>
      </c>
      <c r="AK17" s="154">
        <f>SUMIF($BV$52:$BV$151, $C17,AK$52:AK$151)</f>
        <v>0</v>
      </c>
      <c r="AL17" s="154">
        <f>SUMIF($BV$52:$BV$151, $C17,AL$52:AL$151)</f>
        <v>0</v>
      </c>
      <c r="AM17" s="154">
        <f>SUMIF($BV$52:$BV$151, $C17,AM$52:AM$151)</f>
        <v>0</v>
      </c>
      <c r="AN17" s="154">
        <f>SUMIF($BV$52:$BV$151, $C17,AN$52:AN$151)</f>
        <v>0</v>
      </c>
      <c r="AO17" s="154">
        <f>SUMIF($BV$52:$BV$151, $C17,AO$52:AO$151)</f>
        <v>0</v>
      </c>
      <c r="AP17" s="154">
        <f>SUMIF($BV$52:$BV$151, $C17,AP$52:AP$151)</f>
        <v>0</v>
      </c>
      <c r="AQ17" s="154">
        <f>SUMIF($BV$52:$BV$151, $C17,AQ$52:AQ$151)</f>
        <v>0</v>
      </c>
      <c r="AR17" s="154">
        <f>SUMIF($BV$52:$BV$151, $C17,AR$52:AR$151)</f>
        <v>0</v>
      </c>
      <c r="AS17" s="154">
        <f>SUMIF($BV$52:$BV$151, $C17,AS$52:AS$151)</f>
        <v>0</v>
      </c>
      <c r="AT17" s="154">
        <f>SUMIF($BV$52:$BV$151, $C17,AT$52:AT$151)</f>
        <v>0</v>
      </c>
      <c r="AU17" s="154">
        <f>SUMIF($BV$52:$BV$151, $C17,AU$52:AU$151)</f>
        <v>0</v>
      </c>
      <c r="AV17" s="154">
        <f>SUMIF($BV$52:$BV$151, $C17,AV$52:AV$151)</f>
        <v>0</v>
      </c>
      <c r="AW17" s="154">
        <f>SUMIF($BV$52:$BV$151, $C17,AW$52:AW$151)</f>
        <v>0</v>
      </c>
      <c r="AX17" s="154">
        <f>SUMIF($BV$52:$BV$151, $C17,AX$52:AX$151)</f>
        <v>0</v>
      </c>
      <c r="AY17" s="154">
        <f>SUMIF($BV$52:$BV$151, $C17,AY$52:AY$151)</f>
        <v>0</v>
      </c>
      <c r="AZ17" s="154">
        <f>SUMIF($BV$52:$BV$151, $C17,AZ$52:AZ$151)</f>
        <v>0</v>
      </c>
      <c r="BA17" s="154">
        <f>SUMIF($BV$52:$BV$151, $C17,BA$52:BA$151)</f>
        <v>0</v>
      </c>
      <c r="BB17" s="154">
        <f>SUMIF($BV$52:$BV$151, $C17,BB$52:BB$151)</f>
        <v>0</v>
      </c>
      <c r="BC17" s="154">
        <f>SUMIF($BV$52:$BV$151, $C17,BC$52:BC$151)</f>
        <v>0</v>
      </c>
      <c r="BD17" s="154">
        <f>SUMIF($BV$52:$BV$151, $C17,BD$52:BD$151)</f>
        <v>0</v>
      </c>
      <c r="BE17" s="154">
        <f>SUMIF($BV$52:$BV$151, $C17,BE$52:BE$151)</f>
        <v>0</v>
      </c>
      <c r="BF17" s="154">
        <f>SUMIF($BV$52:$BV$151, $C17,BF$52:BF$151)</f>
        <v>0</v>
      </c>
      <c r="BG17" s="154">
        <f>SUMIF($BV$52:$BV$151, $C17,BG$52:BG$151)</f>
        <v>0</v>
      </c>
      <c r="BH17" s="154">
        <f>SUMIF($BV$52:$BV$151, $C17,BH$52:BH$151)</f>
        <v>0</v>
      </c>
      <c r="BI17" s="154">
        <f>SUMIF($BV$52:$BV$151, $C17,BI$52:BI$151)</f>
        <v>0</v>
      </c>
      <c r="BJ17" s="154">
        <f>SUMIF($BV$52:$BV$151, $C17,BJ$52:BJ$151)</f>
        <v>0</v>
      </c>
      <c r="BK17" s="154">
        <f>SUMIF($BV$52:$BV$151, $C17,BK$52:BK$151)</f>
        <v>0</v>
      </c>
      <c r="BL17" s="154">
        <f>SUMIF($BV$52:$BV$151, $C17,BL$52:BL$151)</f>
        <v>0</v>
      </c>
      <c r="BM17" s="154">
        <f>SUMIF($BV$52:$BV$151, $C17,BM$52:BM$151)</f>
        <v>0</v>
      </c>
      <c r="BN17" s="154">
        <f>SUMIF($BV$52:$BV$151, $C17,BN$52:BN$151)</f>
        <v>0</v>
      </c>
      <c r="BO17" s="154">
        <f>SUMIF($BV$52:$BV$151, $C17,BO$52:BO$151)</f>
        <v>0</v>
      </c>
      <c r="BP17" s="154">
        <f>SUMIF($BV$52:$BV$151, $C17,BP$52:BP$151)</f>
        <v>0</v>
      </c>
      <c r="BQ17" s="154">
        <f>SUMIF($BV$52:$BV$151, $C17,BQ$52:BQ$151)</f>
        <v>0</v>
      </c>
      <c r="BR17" s="154">
        <f>SUMIF($BV$52:$BV$151, $C17,BR$52:BR$151)</f>
        <v>0</v>
      </c>
      <c r="BS17" s="154">
        <f>SUMIF($BV$52:$BV$151, $C17,BS$52:BS$151)</f>
        <v>0</v>
      </c>
      <c r="BT17" s="1"/>
      <c r="BU17" s="1"/>
      <c r="BV17" s="23"/>
      <c r="BW17" s="1"/>
      <c r="BX17" s="23"/>
      <c r="BY17" s="1"/>
    </row>
    <row r="18" spans="1:77" ht="80" x14ac:dyDescent="0.15">
      <c r="A18" s="14"/>
      <c r="B18" s="1069" t="str">
        <f t="shared" ref="B18:C18" si="8">B70</f>
        <v>Wetland features / Ponds &amp; scrapes</v>
      </c>
      <c r="C18" s="25" t="str">
        <f t="shared" si="8"/>
        <v>Ponds</v>
      </c>
      <c r="D18" s="217"/>
      <c r="E18" s="26" t="str">
        <f ca="1">IFERROR(__xludf.DUMMYFUNCTION("ifna(JOIN(""; "", unique(FILTER(E$52:E$153,$CF$52:$CF$153=$C18,E$52:E$153&lt;&gt;""""))),"""")"),"2 locations along western boundary (costs provided by landowner); Along southern boundary (costs provided by landowner)")</f>
        <v>2 locations along western boundary (costs provided by landowner); Along southern boundary (costs provided by landowner)</v>
      </c>
      <c r="F18" s="44">
        <f>SUMIF($BV$52:$BV$151, $C18,F$52:F$151)</f>
        <v>1.4999999999999999E-2</v>
      </c>
      <c r="G18" s="44">
        <f>SUMIF($BV$52:$BV$151, $C18,G$52:G$151)</f>
        <v>0</v>
      </c>
      <c r="H18" s="45">
        <f>SUMIF($BV$52:$BV$151, $C18,H$52:H$151)</f>
        <v>4</v>
      </c>
      <c r="I18" s="26" t="str">
        <f ca="1">IFERROR(__xludf.DUMMYFUNCTION("ifna(JOIN(""; "", unique(FILTER(I$52:I$153,$CF$52:$CF$153=$C18,I$52:I$153&lt;&gt;""""))),"""")"),"")</f>
        <v/>
      </c>
      <c r="J18" s="46" t="str">
        <f ca="1">IFERROR(__xludf.DUMMYFUNCTION("ifna(JOIN(""; "", unique(FILTER(J$52:J$153,$CF$52:$CF$153=$C18,J$52:J$153&lt;&gt;""""))),"""")"),"")</f>
        <v/>
      </c>
      <c r="K18" s="47">
        <f>IFERROR((SUMIF($BV$52:$BV$151, $C18,L$52:L$151)/IF($H18&gt;0,$H18,SUM($F18:$G18))),"")</f>
        <v>2000</v>
      </c>
      <c r="L18" s="48">
        <f>SUMIF($BV$52:$BV$151, $C18,L$52:L$151)</f>
        <v>8000</v>
      </c>
      <c r="M18" s="26" t="str">
        <f ca="1">IFERROR(__xludf.DUMMYFUNCTION("ifna(JOIN(""; "", unique(FILTER(M$52:M$153,$CF$52:$CF$153=$C18,M$52:M$153&lt;&gt;""""))),"""")"),"")</f>
        <v/>
      </c>
      <c r="N18" s="47">
        <f>IFERROR((SUMIF($BV$52:$BV$151, $C18,O$52:O$151)/IF($H18&gt;0,$H18,SUM($F18:$G18))),"")</f>
        <v>2000</v>
      </c>
      <c r="O18" s="48">
        <f>SUMIF($BV$52:$BV$151, $C18,O$52:O$151)</f>
        <v>8000</v>
      </c>
      <c r="P18" s="48">
        <f t="shared" si="4"/>
        <v>16000</v>
      </c>
      <c r="Q18" s="26" t="str">
        <f ca="1">IFERROR(__xludf.DUMMYFUNCTION("ifna(JOIN(""; "", unique(FILTER(Q$52:Q$153,$CF$52:$CF$153=$C18,Q$52:Q$153&lt;&gt;""""))),"""")"),"September - October")</f>
        <v>September - October</v>
      </c>
      <c r="R18" s="26" t="str">
        <f ca="1">IFERROR(__xludf.DUMMYFUNCTION("ifna(JOIN(""; "", unique(FILTER(R$52:R$153,$CF$52:$CF$153=$C18,R$52:R$153&lt;&gt;""""))),"""")"),"Weed pulling around pond")</f>
        <v>Weed pulling around pond</v>
      </c>
      <c r="S18" s="26" t="str">
        <f ca="1">IFERROR(__xludf.DUMMYFUNCTION("ifna(JOIN(""; "", unique(FILTER(S$52:S$153,$CF$52:$CF$153=$C18,S$52:S$153&lt;&gt;""""))),"""")"),"1")</f>
        <v>1</v>
      </c>
      <c r="T18" s="47">
        <f>IFERROR((SUMIF($BV$52:$BV$151, $C18,U$52:U$151)/IF($H18&gt;0,$H18,SUM($F18:$G18))),"")</f>
        <v>225</v>
      </c>
      <c r="U18" s="48">
        <f>SUMIF($BV$52:$BV$151, $C18,U$52:U$151)</f>
        <v>900</v>
      </c>
      <c r="V18" s="26" t="str">
        <f ca="1">IFERROR(__xludf.DUMMYFUNCTION("ifna(JOIN(""; "", unique(FILTER(V$52:V$153,$CF$52:$CF$153=$C18,V$52:V$153&lt;&gt;""""))),"""")"),"Clear 50% of vegetation from pond every 3 years using a small excavator")</f>
        <v>Clear 50% of vegetation from pond every 3 years using a small excavator</v>
      </c>
      <c r="W18" s="26" t="str">
        <f ca="1">IFERROR(__xludf.DUMMYFUNCTION("ifna(JOIN(""; "", unique(FILTER(W$52:W$153,$CF$52:$CF$153=$C18,W$52:W$153&lt;&gt;""""))),"""")"),"0.3")</f>
        <v>0.3</v>
      </c>
      <c r="X18" s="225">
        <f>IFERROR((SUMIF($BV$52:$BV$151, $C18,Y$52:Y$151)/IF($H18&gt;0,$H18,SUM($F18:$G18))),"")</f>
        <v>49.5</v>
      </c>
      <c r="Y18" s="50">
        <f>SUMIF($BV$52:$BV$151, $C18,Y$52:Y$151)</f>
        <v>198</v>
      </c>
      <c r="Z18" s="1"/>
      <c r="AA18" s="154">
        <f>SUMIF($BV$52:$BV$151, $C18,AA$52:AA$151)</f>
        <v>21635.087908346359</v>
      </c>
      <c r="AB18" s="1"/>
      <c r="AC18" s="214"/>
      <c r="AD18" s="214"/>
      <c r="AE18" s="154">
        <f>SUMIF($BV$52:$BV$151, $C18,AE$52:AE$151)</f>
        <v>16000</v>
      </c>
      <c r="AF18" s="154">
        <f>SUMIF($BV$52:$BV$151, $C18,AF$52:AF$151)</f>
        <v>922.49999999999989</v>
      </c>
      <c r="AG18" s="154">
        <f>SUMIF($BV$52:$BV$151, $C18,AG$52:AG$151)</f>
        <v>945.56249999999989</v>
      </c>
      <c r="AH18" s="154">
        <f>SUMIF($BV$52:$BV$151, $C18,AH$52:AH$151)</f>
        <v>969.20156249999991</v>
      </c>
      <c r="AI18" s="154">
        <f>SUMIF($BV$52:$BV$151, $C18,AI$52:AI$151)</f>
        <v>218.55495234374996</v>
      </c>
      <c r="AJ18" s="154">
        <f>SUMIF($BV$52:$BV$151, $C18,AJ$52:AJ$151)</f>
        <v>224.01882615234368</v>
      </c>
      <c r="AK18" s="154">
        <f>SUMIF($BV$52:$BV$151, $C18,AK$52:AK$151)</f>
        <v>229.61929680615225</v>
      </c>
      <c r="AL18" s="154">
        <f>SUMIF($BV$52:$BV$151, $C18,AL$52:AL$151)</f>
        <v>235.35977922630607</v>
      </c>
      <c r="AM18" s="154">
        <f>SUMIF($BV$52:$BV$151, $C18,AM$52:AM$151)</f>
        <v>241.24377370696371</v>
      </c>
      <c r="AN18" s="154">
        <f>SUMIF($BV$52:$BV$151, $C18,AN$52:AN$151)</f>
        <v>247.27486804963775</v>
      </c>
      <c r="AO18" s="154">
        <f>SUMIF($BV$52:$BV$151, $C18,AO$52:AO$151)</f>
        <v>253.45673975087871</v>
      </c>
      <c r="AP18" s="154">
        <f>SUMIF($BV$52:$BV$151, $C18,AP$52:AP$151)</f>
        <v>259.79315824465067</v>
      </c>
      <c r="AQ18" s="154">
        <f>SUMIF($BV$52:$BV$151, $C18,AQ$52:AQ$151)</f>
        <v>266.28798720076691</v>
      </c>
      <c r="AR18" s="154">
        <f>SUMIF($BV$52:$BV$151, $C18,AR$52:AR$151)</f>
        <v>272.94518688078608</v>
      </c>
      <c r="AS18" s="154">
        <f>SUMIF($BV$52:$BV$151, $C18,AS$52:AS$151)</f>
        <v>279.76881655280567</v>
      </c>
      <c r="AT18" s="154">
        <f>SUMIF($BV$52:$BV$151, $C18,AT$52:AT$151)</f>
        <v>286.76303696662586</v>
      </c>
      <c r="AU18" s="154">
        <f>SUMIF($BV$52:$BV$151, $C18,AU$52:AU$151)</f>
        <v>293.93211289079147</v>
      </c>
      <c r="AV18" s="154">
        <f>SUMIF($BV$52:$BV$151, $C18,AV$52:AV$151)</f>
        <v>301.28041571306125</v>
      </c>
      <c r="AW18" s="154">
        <f>SUMIF($BV$52:$BV$151, $C18,AW$52:AW$151)</f>
        <v>308.81242610588777</v>
      </c>
      <c r="AX18" s="154">
        <f>SUMIF($BV$52:$BV$151, $C18,AX$52:AX$151)</f>
        <v>316.53273675853501</v>
      </c>
      <c r="AY18" s="154">
        <f>SUMIF($BV$52:$BV$151, $C18,AY$52:AY$151)</f>
        <v>324.44605517749829</v>
      </c>
      <c r="AZ18" s="154">
        <f>SUMIF($BV$52:$BV$151, $C18,AZ$52:AZ$151)</f>
        <v>332.55720655693574</v>
      </c>
      <c r="BA18" s="154">
        <f>SUMIF($BV$52:$BV$151, $C18,BA$52:BA$151)</f>
        <v>340.87113672085911</v>
      </c>
      <c r="BB18" s="154">
        <f>SUMIF($BV$52:$BV$151, $C18,BB$52:BB$151)</f>
        <v>349.3929151388806</v>
      </c>
      <c r="BC18" s="154">
        <f>SUMIF($BV$52:$BV$151, $C18,BC$52:BC$151)</f>
        <v>358.12773801735261</v>
      </c>
      <c r="BD18" s="154">
        <f>SUMIF($BV$52:$BV$151, $C18,BD$52:BD$151)</f>
        <v>367.08093146778634</v>
      </c>
      <c r="BE18" s="154">
        <f>SUMIF($BV$52:$BV$151, $C18,BE$52:BE$151)</f>
        <v>376.25795475448098</v>
      </c>
      <c r="BF18" s="154">
        <f>SUMIF($BV$52:$BV$151, $C18,BF$52:BF$151)</f>
        <v>385.66440362334299</v>
      </c>
      <c r="BG18" s="154">
        <f>SUMIF($BV$52:$BV$151, $C18,BG$52:BG$151)</f>
        <v>395.30601371392657</v>
      </c>
      <c r="BH18" s="154">
        <f>SUMIF($BV$52:$BV$151, $C18,BH$52:BH$151)</f>
        <v>405.18866405677477</v>
      </c>
      <c r="BI18" s="154">
        <f>SUMIF($BV$52:$BV$151, $C18,BI$52:BI$151)</f>
        <v>415.31838065819403</v>
      </c>
      <c r="BJ18" s="154">
        <f>SUMIF($BV$52:$BV$151, $C18,BJ$52:BJ$151)</f>
        <v>425.70134017464898</v>
      </c>
      <c r="BK18" s="154">
        <f>SUMIF($BV$52:$BV$151, $C18,BK$52:BK$151)</f>
        <v>436.34387367901513</v>
      </c>
      <c r="BL18" s="154">
        <f>SUMIF($BV$52:$BV$151, $C18,BL$52:BL$151)</f>
        <v>447.25247052099047</v>
      </c>
      <c r="BM18" s="154">
        <f>SUMIF($BV$52:$BV$151, $C18,BM$52:BM$151)</f>
        <v>458.43378228401525</v>
      </c>
      <c r="BN18" s="154">
        <f>SUMIF($BV$52:$BV$151, $C18,BN$52:BN$151)</f>
        <v>469.89462684111555</v>
      </c>
      <c r="BO18" s="154">
        <f>SUMIF($BV$52:$BV$151, $C18,BO$52:BO$151)</f>
        <v>481.64199251214347</v>
      </c>
      <c r="BP18" s="154">
        <f>SUMIF($BV$52:$BV$151, $C18,BP$52:BP$151)</f>
        <v>493.683042324947</v>
      </c>
      <c r="BQ18" s="154">
        <f>SUMIF($BV$52:$BV$151, $C18,BQ$52:BQ$151)</f>
        <v>506.02511838307055</v>
      </c>
      <c r="BR18" s="154">
        <f>SUMIF($BV$52:$BV$151, $C18,BR$52:BR$151)</f>
        <v>518.67574634264736</v>
      </c>
      <c r="BS18" s="154">
        <f>SUMIF($BV$52:$BV$151, $C18,BS$52:BS$151)</f>
        <v>531.64264000121352</v>
      </c>
      <c r="BT18" s="1"/>
      <c r="BU18" s="1"/>
      <c r="BV18" s="23"/>
      <c r="BW18" s="1"/>
      <c r="BX18" s="23"/>
      <c r="BY18" s="1"/>
    </row>
    <row r="19" spans="1:77" ht="48" x14ac:dyDescent="0.15">
      <c r="A19" s="14"/>
      <c r="B19" s="1070"/>
      <c r="C19" s="65" t="str">
        <f t="shared" ref="C19:C20" si="9">C72</f>
        <v>Scrapes</v>
      </c>
      <c r="D19" s="239"/>
      <c r="E19" s="66" t="str">
        <f ca="1">IFERROR(__xludf.DUMMYFUNCTION("ifna(JOIN(""; "", unique(FILTER(E$52:E$153,$CF$52:$CF$153=$C19,E$52:E$153&lt;&gt;""""))),"""")"),"Western boundary")</f>
        <v>Western boundary</v>
      </c>
      <c r="F19" s="44">
        <f>SUMIF($BV$52:$BV$151, $C19,F$52:F$151)</f>
        <v>5.0000000000000001E-3</v>
      </c>
      <c r="G19" s="44">
        <f>SUMIF($BV$52:$BV$151, $C19,G$52:G$151)</f>
        <v>0.3</v>
      </c>
      <c r="H19" s="45">
        <f>SUMIF($BV$52:$BV$151, $C19,H$52:H$151)</f>
        <v>1</v>
      </c>
      <c r="I19" s="66" t="str">
        <f ca="1">IFERROR(__xludf.DUMMYFUNCTION("ifna(JOIN(""; "", unique(FILTER(I$52:I$153,$CF$52:$CF$153=$C19,I$52:I$153&lt;&gt;""""))),"""")"),"")</f>
        <v/>
      </c>
      <c r="J19" s="67" t="str">
        <f ca="1">IFERROR(__xludf.DUMMYFUNCTION("ifna(JOIN(""; "", unique(FILTER(J$52:J$153,$CF$52:$CF$153=$C19,J$52:J$153&lt;&gt;""""))),"""")"),"")</f>
        <v/>
      </c>
      <c r="K19" s="68">
        <f>IFERROR((SUMIF($BV$52:$BV$151, $C19,L$52:L$151)/IF($H19&gt;0,$H19,SUM($F19:$G19))),"")</f>
        <v>0</v>
      </c>
      <c r="L19" s="69">
        <f>SUMIF($BV$52:$BV$151, $C19,L$52:L$151)</f>
        <v>0</v>
      </c>
      <c r="M19" s="66" t="str">
        <f ca="1">IFERROR(__xludf.DUMMYFUNCTION("ifna(JOIN(""; "", unique(FILTER(M$52:M$153,$CF$52:$CF$153=$C19,M$52:M$153&lt;&gt;""""))),"""")"),"")</f>
        <v/>
      </c>
      <c r="N19" s="68">
        <f>IFERROR((SUMIF($BV$52:$BV$151, $C19,O$52:O$151)/IF($H19&gt;0,$H19,SUM($F19:$G19))),"")</f>
        <v>2000</v>
      </c>
      <c r="O19" s="69">
        <f>SUMIF($BV$52:$BV$151, $C19,O$52:O$151)</f>
        <v>2000</v>
      </c>
      <c r="P19" s="69">
        <f t="shared" si="4"/>
        <v>2000</v>
      </c>
      <c r="Q19" s="26" t="str">
        <f ca="1">IFERROR(__xludf.DUMMYFUNCTION("ifna(JOIN(""; "", unique(FILTER(Q$52:Q$153,$CF$52:$CF$153=$C19,Q$52:Q$153&lt;&gt;""""))),"""")"),"September - October")</f>
        <v>September - October</v>
      </c>
      <c r="R19" s="66" t="str">
        <f ca="1">IFERROR(__xludf.DUMMYFUNCTION("ifna(JOIN(""; "", unique(FILTER(R$52:R$153,$CF$52:$CF$153=$C19,R$52:R$153&lt;&gt;""""))),"""")"),"Weed pulling around scrape")</f>
        <v>Weed pulling around scrape</v>
      </c>
      <c r="S19" s="66" t="str">
        <f ca="1">IFERROR(__xludf.DUMMYFUNCTION("ifna(JOIN(""; "", unique(FILTER(S$52:S$153,$CF$52:$CF$153=$C19,S$52:S$153&lt;&gt;""""))),"""")"),"1")</f>
        <v>1</v>
      </c>
      <c r="T19" s="68">
        <f>IFERROR((SUMIF($BV$52:$BV$151, $C19,U$52:U$151)/IF($H19&gt;0,$H19,SUM($F19:$G19))),"")</f>
        <v>200</v>
      </c>
      <c r="U19" s="69">
        <f>SUMIF($BV$52:$BV$151, $C19,U$52:U$151)</f>
        <v>200</v>
      </c>
      <c r="V19" s="66" t="str">
        <f ca="1">IFERROR(__xludf.DUMMYFUNCTION("ifna(JOIN(""; "", unique(FILTER(V$52:V$153,$CF$52:$CF$153=$C19,V$52:V$153&lt;&gt;""""))),"""")"),"Clear 50% of vegetation from pond every 3 years using a small excavator")</f>
        <v>Clear 50% of vegetation from pond every 3 years using a small excavator</v>
      </c>
      <c r="W19" s="66" t="str">
        <f ca="1">IFERROR(__xludf.DUMMYFUNCTION("ifna(JOIN(""; "", unique(FILTER(W$52:W$153,$CF$52:$CF$153=$C19,W$52:W$153&lt;&gt;""""))),"""")"),"0.3")</f>
        <v>0.3</v>
      </c>
      <c r="X19" s="240">
        <f>IFERROR((SUMIF($BV$52:$BV$151, $C19,Y$52:Y$151)/IF($H19&gt;0,$H19,SUM($F19:$G19))),"")</f>
        <v>99</v>
      </c>
      <c r="Y19" s="70">
        <f>SUMIF($BV$52:$BV$151, $C19,Y$52:Y$151)</f>
        <v>99</v>
      </c>
      <c r="Z19" s="1"/>
      <c r="AA19" s="154">
        <f>SUMIF($BV$52:$BV$151, $C19,AA$52:AA$151)</f>
        <v>4128.8779491839668</v>
      </c>
      <c r="AB19" s="1"/>
      <c r="AC19" s="214"/>
      <c r="AD19" s="214"/>
      <c r="AE19" s="154">
        <f>SUMIF($BV$52:$BV$151, $C19,AE$52:AE$151)</f>
        <v>2000</v>
      </c>
      <c r="AF19" s="154">
        <f>SUMIF($BV$52:$BV$151, $C19,AF$52:AF$151)</f>
        <v>204.99999999999997</v>
      </c>
      <c r="AG19" s="154">
        <f>SUMIF($BV$52:$BV$151, $C19,AG$52:AG$151)</f>
        <v>210.12499999999997</v>
      </c>
      <c r="AH19" s="154">
        <f>SUMIF($BV$52:$BV$151, $C19,AH$52:AH$151)</f>
        <v>215.37812499999998</v>
      </c>
      <c r="AI19" s="154">
        <f>SUMIF($BV$52:$BV$151, $C19,AI$52:AI$151)</f>
        <v>109.27747617187498</v>
      </c>
      <c r="AJ19" s="154">
        <f>SUMIF($BV$52:$BV$151, $C19,AJ$52:AJ$151)</f>
        <v>112.00941307617184</v>
      </c>
      <c r="AK19" s="154">
        <f>SUMIF($BV$52:$BV$151, $C19,AK$52:AK$151)</f>
        <v>114.80964840307612</v>
      </c>
      <c r="AL19" s="154">
        <f>SUMIF($BV$52:$BV$151, $C19,AL$52:AL$151)</f>
        <v>117.67988961315304</v>
      </c>
      <c r="AM19" s="154">
        <f>SUMIF($BV$52:$BV$151, $C19,AM$52:AM$151)</f>
        <v>120.62188685348185</v>
      </c>
      <c r="AN19" s="154">
        <f>SUMIF($BV$52:$BV$151, $C19,AN$52:AN$151)</f>
        <v>123.63743402481887</v>
      </c>
      <c r="AO19" s="154">
        <f>SUMIF($BV$52:$BV$151, $C19,AO$52:AO$151)</f>
        <v>126.72836987543936</v>
      </c>
      <c r="AP19" s="154">
        <f>SUMIF($BV$52:$BV$151, $C19,AP$52:AP$151)</f>
        <v>129.89657912232533</v>
      </c>
      <c r="AQ19" s="154">
        <f>SUMIF($BV$52:$BV$151, $C19,AQ$52:AQ$151)</f>
        <v>133.14399360038345</v>
      </c>
      <c r="AR19" s="154">
        <f>SUMIF($BV$52:$BV$151, $C19,AR$52:AR$151)</f>
        <v>136.47259344039304</v>
      </c>
      <c r="AS19" s="154">
        <f>SUMIF($BV$52:$BV$151, $C19,AS$52:AS$151)</f>
        <v>139.88440827640284</v>
      </c>
      <c r="AT19" s="154">
        <f>SUMIF($BV$52:$BV$151, $C19,AT$52:AT$151)</f>
        <v>143.38151848331293</v>
      </c>
      <c r="AU19" s="154">
        <f>SUMIF($BV$52:$BV$151, $C19,AU$52:AU$151)</f>
        <v>146.96605644539574</v>
      </c>
      <c r="AV19" s="154">
        <f>SUMIF($BV$52:$BV$151, $C19,AV$52:AV$151)</f>
        <v>150.64020785653062</v>
      </c>
      <c r="AW19" s="154">
        <f>SUMIF($BV$52:$BV$151, $C19,AW$52:AW$151)</f>
        <v>154.40621305294388</v>
      </c>
      <c r="AX19" s="154">
        <f>SUMIF($BV$52:$BV$151, $C19,AX$52:AX$151)</f>
        <v>158.2663683792675</v>
      </c>
      <c r="AY19" s="154">
        <f>SUMIF($BV$52:$BV$151, $C19,AY$52:AY$151)</f>
        <v>162.22302758874915</v>
      </c>
      <c r="AZ19" s="154">
        <f>SUMIF($BV$52:$BV$151, $C19,AZ$52:AZ$151)</f>
        <v>166.27860327846787</v>
      </c>
      <c r="BA19" s="154">
        <f>SUMIF($BV$52:$BV$151, $C19,BA$52:BA$151)</f>
        <v>170.43556836042956</v>
      </c>
      <c r="BB19" s="154">
        <f>SUMIF($BV$52:$BV$151, $C19,BB$52:BB$151)</f>
        <v>174.6964575694403</v>
      </c>
      <c r="BC19" s="154">
        <f>SUMIF($BV$52:$BV$151, $C19,BC$52:BC$151)</f>
        <v>179.06386900867631</v>
      </c>
      <c r="BD19" s="154">
        <f>SUMIF($BV$52:$BV$151, $C19,BD$52:BD$151)</f>
        <v>183.54046573389317</v>
      </c>
      <c r="BE19" s="154">
        <f>SUMIF($BV$52:$BV$151, $C19,BE$52:BE$151)</f>
        <v>188.12897737724049</v>
      </c>
      <c r="BF19" s="154">
        <f>SUMIF($BV$52:$BV$151, $C19,BF$52:BF$151)</f>
        <v>192.8322018116715</v>
      </c>
      <c r="BG19" s="154">
        <f>SUMIF($BV$52:$BV$151, $C19,BG$52:BG$151)</f>
        <v>197.65300685696329</v>
      </c>
      <c r="BH19" s="154">
        <f>SUMIF($BV$52:$BV$151, $C19,BH$52:BH$151)</f>
        <v>202.59433202838738</v>
      </c>
      <c r="BI19" s="154">
        <f>SUMIF($BV$52:$BV$151, $C19,BI$52:BI$151)</f>
        <v>207.65919032909702</v>
      </c>
      <c r="BJ19" s="154">
        <f>SUMIF($BV$52:$BV$151, $C19,BJ$52:BJ$151)</f>
        <v>212.85067008732449</v>
      </c>
      <c r="BK19" s="154">
        <f>SUMIF($BV$52:$BV$151, $C19,BK$52:BK$151)</f>
        <v>218.17193683950757</v>
      </c>
      <c r="BL19" s="154">
        <f>SUMIF($BV$52:$BV$151, $C19,BL$52:BL$151)</f>
        <v>223.62623526049524</v>
      </c>
      <c r="BM19" s="154">
        <f>SUMIF($BV$52:$BV$151, $C19,BM$52:BM$151)</f>
        <v>229.21689114200763</v>
      </c>
      <c r="BN19" s="154">
        <f>SUMIF($BV$52:$BV$151, $C19,BN$52:BN$151)</f>
        <v>234.94731342055778</v>
      </c>
      <c r="BO19" s="154">
        <f>SUMIF($BV$52:$BV$151, $C19,BO$52:BO$151)</f>
        <v>240.82099625607174</v>
      </c>
      <c r="BP19" s="154">
        <f>SUMIF($BV$52:$BV$151, $C19,BP$52:BP$151)</f>
        <v>246.8415211624735</v>
      </c>
      <c r="BQ19" s="154">
        <f>SUMIF($BV$52:$BV$151, $C19,BQ$52:BQ$151)</f>
        <v>253.01255919153527</v>
      </c>
      <c r="BR19" s="154">
        <f>SUMIF($BV$52:$BV$151, $C19,BR$52:BR$151)</f>
        <v>259.33787317132368</v>
      </c>
      <c r="BS19" s="154">
        <f>SUMIF($BV$52:$BV$151, $C19,BS$52:BS$151)</f>
        <v>265.82132000060676</v>
      </c>
      <c r="BT19" s="1"/>
      <c r="BU19" s="1"/>
      <c r="BV19" s="23"/>
      <c r="BW19" s="1"/>
      <c r="BX19" s="23"/>
      <c r="BY19" s="1"/>
    </row>
    <row r="20" spans="1:77" ht="16" x14ac:dyDescent="0.15">
      <c r="A20" s="14"/>
      <c r="B20" s="1071"/>
      <c r="C20" s="51" t="str">
        <f t="shared" si="9"/>
        <v>Swale planting</v>
      </c>
      <c r="D20" s="226"/>
      <c r="E20" s="52" t="str">
        <f ca="1">IFERROR(__xludf.DUMMYFUNCTION("ifna(JOIN(""; "", unique(FILTER(E$52:E$153,$CF$52:$CF$153=$C20,E$52:E$153&lt;&gt;""""))),"""")"),"")</f>
        <v/>
      </c>
      <c r="F20" s="44">
        <f>SUMIF($BV$52:$BV$151, $C20,F$52:F$151)</f>
        <v>0</v>
      </c>
      <c r="G20" s="44">
        <f>SUMIF($BV$52:$BV$151, $C20,G$52:G$151)</f>
        <v>0</v>
      </c>
      <c r="H20" s="45">
        <f>SUMIF($BV$52:$BV$151, $C20,H$52:H$151)</f>
        <v>0</v>
      </c>
      <c r="I20" s="52" t="str">
        <f ca="1">IFERROR(__xludf.DUMMYFUNCTION("ifna(JOIN(""; "", unique(FILTER(I$52:I$153,$CF$52:$CF$153=$C20,I$52:I$153&lt;&gt;""""))),"""")"),"")</f>
        <v/>
      </c>
      <c r="J20" s="55" t="str">
        <f ca="1">IFERROR(__xludf.DUMMYFUNCTION("ifna(JOIN(""; "", unique(FILTER(J$52:J$153,$CF$52:$CF$153=$C20,J$52:J$153&lt;&gt;""""))),"""")"),"")</f>
        <v/>
      </c>
      <c r="K20" s="56" t="str">
        <f>IFERROR((SUMIF($BV$52:$BV$151, $C20,L$52:L$151)/IF($H20&gt;0,$H20,SUM($F20:$G20))),"")</f>
        <v/>
      </c>
      <c r="L20" s="57">
        <f>SUMIF($BV$52:$BV$151, $C20,L$52:L$151)</f>
        <v>0</v>
      </c>
      <c r="M20" s="52" t="str">
        <f ca="1">IFERROR(__xludf.DUMMYFUNCTION("ifna(JOIN(""; "", unique(FILTER(M$52:M$153,$CF$52:$CF$153=$C20,M$52:M$153&lt;&gt;""""))),"""")"),"")</f>
        <v/>
      </c>
      <c r="N20" s="56" t="str">
        <f>IFERROR((SUMIF($BV$52:$BV$151, $C20,O$52:O$151)/IF($H20&gt;0,$H20,SUM($F20:$G20))),"")</f>
        <v/>
      </c>
      <c r="O20" s="57">
        <f>SUMIF($BV$52:$BV$151, $C20,O$52:O$151)</f>
        <v>0</v>
      </c>
      <c r="P20" s="57">
        <f t="shared" si="4"/>
        <v>0</v>
      </c>
      <c r="Q20" s="241" t="str">
        <f ca="1">IFERROR(__xludf.DUMMYFUNCTION("ifna(JOIN(""; "", unique(FILTER(Q$52:Q$153,$CF$52:$CF$153=$C20,Q$52:Q$153&lt;&gt;""""))),"""")"),"-")</f>
        <v>-</v>
      </c>
      <c r="R20" s="242" t="str">
        <f ca="1">IFERROR(__xludf.DUMMYFUNCTION("ifna(JOIN(""; "", unique(FILTER(R$52:R$153,$CF$52:$CF$153=$C20,R$52:R$153&lt;&gt;""""))),"""")"),"-")</f>
        <v>-</v>
      </c>
      <c r="S20" s="242" t="str">
        <f ca="1">IFERROR(__xludf.DUMMYFUNCTION("ifna(JOIN(""; "", unique(FILTER(S$52:S$153,$CF$52:$CF$153=$C20,S$52:S$153&lt;&gt;""""))),"""")"),"-")</f>
        <v>-</v>
      </c>
      <c r="T20" s="56" t="str">
        <f>IFERROR((SUMIF($BV$52:$BV$151, $C20,U$52:U$151)/IF($H20&gt;0,$H20,SUM($F20:$G20))),"")</f>
        <v/>
      </c>
      <c r="U20" s="57">
        <f>SUMIF($BV$52:$BV$151, $C20,U$52:U$151)</f>
        <v>0</v>
      </c>
      <c r="V20" s="52" t="str">
        <f ca="1">IFERROR(__xludf.DUMMYFUNCTION("ifna(JOIN(""; "", unique(FILTER(V$52:V$153,$CF$52:$CF$153=$C20,V$52:V$153&lt;&gt;""""))),"""")"),"")</f>
        <v/>
      </c>
      <c r="W20" s="52" t="str">
        <f ca="1">IFERROR(__xludf.DUMMYFUNCTION("ifna(JOIN(""; "", unique(FILTER(W$52:W$153,$CF$52:$CF$153=$C20,W$52:W$153&lt;&gt;""""))),"""")"),"")</f>
        <v/>
      </c>
      <c r="X20" s="221" t="str">
        <f>IFERROR((SUMIF($BV$52:$BV$151, $C20,Y$52:Y$151)/IF($H20&gt;0,$H20,SUM($F20:$G20))),"")</f>
        <v/>
      </c>
      <c r="Y20" s="58">
        <f>SUMIF($BV$52:$BV$151, $C20,Y$52:Y$151)</f>
        <v>0</v>
      </c>
      <c r="Z20" s="1"/>
      <c r="AA20" s="154">
        <f>SUMIF($BV$52:$BV$151, $C20,AA$52:AA$151)</f>
        <v>0</v>
      </c>
      <c r="AB20" s="1"/>
      <c r="AC20" s="214"/>
      <c r="AD20" s="214"/>
      <c r="AE20" s="154">
        <f>SUMIF($BV$52:$BV$151, $C20,AE$52:AE$151)</f>
        <v>0</v>
      </c>
      <c r="AF20" s="154">
        <f>SUMIF($BV$52:$BV$151, $C20,AF$52:AF$151)</f>
        <v>0</v>
      </c>
      <c r="AG20" s="154">
        <f>SUMIF($BV$52:$BV$151, $C20,AG$52:AG$151)</f>
        <v>0</v>
      </c>
      <c r="AH20" s="154">
        <f>SUMIF($BV$52:$BV$151, $C20,AH$52:AH$151)</f>
        <v>0</v>
      </c>
      <c r="AI20" s="154">
        <f>SUMIF($BV$52:$BV$151, $C20,AI$52:AI$151)</f>
        <v>0</v>
      </c>
      <c r="AJ20" s="154">
        <f>SUMIF($BV$52:$BV$151, $C20,AJ$52:AJ$151)</f>
        <v>0</v>
      </c>
      <c r="AK20" s="154">
        <f>SUMIF($BV$52:$BV$151, $C20,AK$52:AK$151)</f>
        <v>0</v>
      </c>
      <c r="AL20" s="154">
        <f>SUMIF($BV$52:$BV$151, $C20,AL$52:AL$151)</f>
        <v>0</v>
      </c>
      <c r="AM20" s="154">
        <f>SUMIF($BV$52:$BV$151, $C20,AM$52:AM$151)</f>
        <v>0</v>
      </c>
      <c r="AN20" s="154">
        <f>SUMIF($BV$52:$BV$151, $C20,AN$52:AN$151)</f>
        <v>0</v>
      </c>
      <c r="AO20" s="154">
        <f>SUMIF($BV$52:$BV$151, $C20,AO$52:AO$151)</f>
        <v>0</v>
      </c>
      <c r="AP20" s="154">
        <f>SUMIF($BV$52:$BV$151, $C20,AP$52:AP$151)</f>
        <v>0</v>
      </c>
      <c r="AQ20" s="154">
        <f>SUMIF($BV$52:$BV$151, $C20,AQ$52:AQ$151)</f>
        <v>0</v>
      </c>
      <c r="AR20" s="154">
        <f>SUMIF($BV$52:$BV$151, $C20,AR$52:AR$151)</f>
        <v>0</v>
      </c>
      <c r="AS20" s="154">
        <f>SUMIF($BV$52:$BV$151, $C20,AS$52:AS$151)</f>
        <v>0</v>
      </c>
      <c r="AT20" s="154">
        <f>SUMIF($BV$52:$BV$151, $C20,AT$52:AT$151)</f>
        <v>0</v>
      </c>
      <c r="AU20" s="154">
        <f>SUMIF($BV$52:$BV$151, $C20,AU$52:AU$151)</f>
        <v>0</v>
      </c>
      <c r="AV20" s="154">
        <f>SUMIF($BV$52:$BV$151, $C20,AV$52:AV$151)</f>
        <v>0</v>
      </c>
      <c r="AW20" s="154">
        <f>SUMIF($BV$52:$BV$151, $C20,AW$52:AW$151)</f>
        <v>0</v>
      </c>
      <c r="AX20" s="154">
        <f>SUMIF($BV$52:$BV$151, $C20,AX$52:AX$151)</f>
        <v>0</v>
      </c>
      <c r="AY20" s="154">
        <f>SUMIF($BV$52:$BV$151, $C20,AY$52:AY$151)</f>
        <v>0</v>
      </c>
      <c r="AZ20" s="154">
        <f>SUMIF($BV$52:$BV$151, $C20,AZ$52:AZ$151)</f>
        <v>0</v>
      </c>
      <c r="BA20" s="154">
        <f>SUMIF($BV$52:$BV$151, $C20,BA$52:BA$151)</f>
        <v>0</v>
      </c>
      <c r="BB20" s="154">
        <f>SUMIF($BV$52:$BV$151, $C20,BB$52:BB$151)</f>
        <v>0</v>
      </c>
      <c r="BC20" s="154">
        <f>SUMIF($BV$52:$BV$151, $C20,BC$52:BC$151)</f>
        <v>0</v>
      </c>
      <c r="BD20" s="154">
        <f>SUMIF($BV$52:$BV$151, $C20,BD$52:BD$151)</f>
        <v>0</v>
      </c>
      <c r="BE20" s="154">
        <f>SUMIF($BV$52:$BV$151, $C20,BE$52:BE$151)</f>
        <v>0</v>
      </c>
      <c r="BF20" s="154">
        <f>SUMIF($BV$52:$BV$151, $C20,BF$52:BF$151)</f>
        <v>0</v>
      </c>
      <c r="BG20" s="154">
        <f>SUMIF($BV$52:$BV$151, $C20,BG$52:BG$151)</f>
        <v>0</v>
      </c>
      <c r="BH20" s="154">
        <f>SUMIF($BV$52:$BV$151, $C20,BH$52:BH$151)</f>
        <v>0</v>
      </c>
      <c r="BI20" s="154">
        <f>SUMIF($BV$52:$BV$151, $C20,BI$52:BI$151)</f>
        <v>0</v>
      </c>
      <c r="BJ20" s="154">
        <f>SUMIF($BV$52:$BV$151, $C20,BJ$52:BJ$151)</f>
        <v>0</v>
      </c>
      <c r="BK20" s="154">
        <f>SUMIF($BV$52:$BV$151, $C20,BK$52:BK$151)</f>
        <v>0</v>
      </c>
      <c r="BL20" s="154">
        <f>SUMIF($BV$52:$BV$151, $C20,BL$52:BL$151)</f>
        <v>0</v>
      </c>
      <c r="BM20" s="154">
        <f>SUMIF($BV$52:$BV$151, $C20,BM$52:BM$151)</f>
        <v>0</v>
      </c>
      <c r="BN20" s="154">
        <f>SUMIF($BV$52:$BV$151, $C20,BN$52:BN$151)</f>
        <v>0</v>
      </c>
      <c r="BO20" s="154">
        <f>SUMIF($BV$52:$BV$151, $C20,BO$52:BO$151)</f>
        <v>0</v>
      </c>
      <c r="BP20" s="154">
        <f>SUMIF($BV$52:$BV$151, $C20,BP$52:BP$151)</f>
        <v>0</v>
      </c>
      <c r="BQ20" s="154">
        <f>SUMIF($BV$52:$BV$151, $C20,BQ$52:BQ$151)</f>
        <v>0</v>
      </c>
      <c r="BR20" s="154">
        <f>SUMIF($BV$52:$BV$151, $C20,BR$52:BR$151)</f>
        <v>0</v>
      </c>
      <c r="BS20" s="154">
        <f>SUMIF($BV$52:$BV$151, $C20,BS$52:BS$151)</f>
        <v>0</v>
      </c>
      <c r="BT20" s="1"/>
      <c r="BU20" s="1"/>
      <c r="BV20" s="23"/>
      <c r="BW20" s="1"/>
      <c r="BX20" s="23"/>
      <c r="BY20" s="1"/>
    </row>
    <row r="21" spans="1:77" ht="16" x14ac:dyDescent="0.15">
      <c r="A21" s="14"/>
      <c r="B21" s="1072" t="str">
        <f t="shared" ref="B21:C21" si="10">B74</f>
        <v>Animal and insect habitat creation</v>
      </c>
      <c r="C21" s="15" t="str">
        <f t="shared" si="10"/>
        <v>Hibernacula</v>
      </c>
      <c r="D21" s="243"/>
      <c r="E21" s="59" t="str">
        <f ca="1">IFERROR(__xludf.DUMMYFUNCTION("ifna(JOIN(""; "", unique(FILTER(E$52:E$153,$CF$52:$CF$153=$C21,E$52:E$153&lt;&gt;""""))),"""")"),"")</f>
        <v/>
      </c>
      <c r="F21" s="60">
        <f>SUMIF($BV$52:$BV$151, $C21,F$52:F$151)</f>
        <v>0</v>
      </c>
      <c r="G21" s="60">
        <f>SUMIF($BV$52:$BV$151, $C21,G$52:G$151)</f>
        <v>0</v>
      </c>
      <c r="H21" s="61">
        <f>SUMIF($BV$52:$BV$151, $C21,H$52:H$151)</f>
        <v>6</v>
      </c>
      <c r="I21" s="244" t="str">
        <f ca="1">IFERROR(__xludf.DUMMYFUNCTION("ifna(JOIN(""; "", unique(FILTER(I$52:I$153,$CF$52:$CF$153=$C21,I$52:I$153&lt;&gt;""""))),"""")"),"Use on site materials")</f>
        <v>Use on site materials</v>
      </c>
      <c r="J21" s="245" t="str">
        <f ca="1">IFERROR(__xludf.DUMMYFUNCTION("ifna(JOIN(""; "", unique(FILTER(J$52:J$153,$CF$52:$CF$153=$C21,J$52:J$153&lt;&gt;""""))),"""")"),"-")</f>
        <v>-</v>
      </c>
      <c r="K21" s="62">
        <f>IFERROR((SUMIF($BV$52:$BV$151, $C21,L$52:L$151)/IF($H21&gt;0,$H21,SUM($F21:$G21))),"")</f>
        <v>0</v>
      </c>
      <c r="L21" s="63">
        <f>SUMIF($BV$52:$BV$151, $C21,L$52:L$151)</f>
        <v>0</v>
      </c>
      <c r="M21" s="244" t="str">
        <f ca="1">IFERROR(__xludf.DUMMYFUNCTION("ifna(JOIN(""; "", unique(FILTER(M$52:M$153,$CF$52:$CF$153=$C21,M$52:M$153&lt;&gt;""""))),"""")"),"Minor machine time")</f>
        <v>Minor machine time</v>
      </c>
      <c r="N21" s="62">
        <f>IFERROR((SUMIF($BV$52:$BV$151, $C21,O$52:O$151)/IF($H21&gt;0,$H21,SUM($F21:$G21))),"")</f>
        <v>185</v>
      </c>
      <c r="O21" s="63">
        <f>SUMIF($BV$52:$BV$151, $C21,O$52:O$151)</f>
        <v>1110</v>
      </c>
      <c r="P21" s="63">
        <f t="shared" si="4"/>
        <v>1110</v>
      </c>
      <c r="Q21" s="244" t="str">
        <f ca="1">IFERROR(__xludf.DUMMYFUNCTION("ifna(JOIN(""; "", unique(FILTER(Q$52:Q$153,$CF$52:$CF$153=$C21,Q$52:Q$153&lt;&gt;""""))),"""")"),"-")</f>
        <v>-</v>
      </c>
      <c r="R21" s="244" t="str">
        <f ca="1">IFERROR(__xludf.DUMMYFUNCTION("ifna(JOIN(""; "", unique(FILTER(R$52:R$153,$CF$52:$CF$153=$C21,R$52:R$153&lt;&gt;""""))),"""")"),"-")</f>
        <v>-</v>
      </c>
      <c r="S21" s="244" t="str">
        <f ca="1">IFERROR(__xludf.DUMMYFUNCTION("ifna(JOIN(""; "", unique(FILTER(S$52:S$153,$CF$52:$CF$153=$C21,S$52:S$153&lt;&gt;""""))),"""")"),"-")</f>
        <v>-</v>
      </c>
      <c r="T21" s="62">
        <f>IFERROR((SUMIF($BV$52:$BV$151, $C21,U$52:U$151)/IF($H21&gt;0,$H21,SUM($F21:$G21))),"")</f>
        <v>0</v>
      </c>
      <c r="U21" s="63">
        <f>SUMIF($BV$52:$BV$151, $C21,U$52:U$151)</f>
        <v>0</v>
      </c>
      <c r="V21" s="59" t="str">
        <f ca="1">IFERROR(__xludf.DUMMYFUNCTION("ifna(JOIN(""; "", unique(FILTER(V$52:V$153,$CF$52:$CF$153=$C21,V$52:V$153&lt;&gt;""""))),"""")"),"")</f>
        <v/>
      </c>
      <c r="W21" s="59" t="str">
        <f ca="1">IFERROR(__xludf.DUMMYFUNCTION("ifna(JOIN(""; "", unique(FILTER(W$52:W$153,$CF$52:$CF$153=$C21,W$52:W$153&lt;&gt;""""))),"""")"),"")</f>
        <v/>
      </c>
      <c r="X21" s="246">
        <f>IFERROR((SUMIF($BV$52:$BV$151, $C21,Y$52:Y$151)/IF($H21&gt;0,$H21,SUM($F21:$G21))),"")</f>
        <v>0</v>
      </c>
      <c r="Y21" s="64">
        <f>SUMIF($BV$52:$BV$151, $C21,Y$52:Y$151)</f>
        <v>0</v>
      </c>
      <c r="Z21" s="1"/>
      <c r="AA21" s="154">
        <f>SUMIF($BV$52:$BV$151, $C21,AA$52:AA$151)</f>
        <v>1110</v>
      </c>
      <c r="AB21" s="1"/>
      <c r="AC21" s="214"/>
      <c r="AD21" s="214"/>
      <c r="AE21" s="154">
        <f>SUMIF($BV$52:$BV$151, $C21,AE$52:AE$151)</f>
        <v>1110</v>
      </c>
      <c r="AF21" s="154">
        <f>SUMIF($BV$52:$BV$151, $C21,AF$52:AF$151)</f>
        <v>0</v>
      </c>
      <c r="AG21" s="154">
        <f>SUMIF($BV$52:$BV$151, $C21,AG$52:AG$151)</f>
        <v>0</v>
      </c>
      <c r="AH21" s="154">
        <f>SUMIF($BV$52:$BV$151, $C21,AH$52:AH$151)</f>
        <v>0</v>
      </c>
      <c r="AI21" s="154">
        <f>SUMIF($BV$52:$BV$151, $C21,AI$52:AI$151)</f>
        <v>0</v>
      </c>
      <c r="AJ21" s="154">
        <f>SUMIF($BV$52:$BV$151, $C21,AJ$52:AJ$151)</f>
        <v>0</v>
      </c>
      <c r="AK21" s="154">
        <f>SUMIF($BV$52:$BV$151, $C21,AK$52:AK$151)</f>
        <v>0</v>
      </c>
      <c r="AL21" s="154">
        <f>SUMIF($BV$52:$BV$151, $C21,AL$52:AL$151)</f>
        <v>0</v>
      </c>
      <c r="AM21" s="154">
        <f>SUMIF($BV$52:$BV$151, $C21,AM$52:AM$151)</f>
        <v>0</v>
      </c>
      <c r="AN21" s="154">
        <f>SUMIF($BV$52:$BV$151, $C21,AN$52:AN$151)</f>
        <v>0</v>
      </c>
      <c r="AO21" s="154">
        <f>SUMIF($BV$52:$BV$151, $C21,AO$52:AO$151)</f>
        <v>0</v>
      </c>
      <c r="AP21" s="154">
        <f>SUMIF($BV$52:$BV$151, $C21,AP$52:AP$151)</f>
        <v>0</v>
      </c>
      <c r="AQ21" s="154">
        <f>SUMIF($BV$52:$BV$151, $C21,AQ$52:AQ$151)</f>
        <v>0</v>
      </c>
      <c r="AR21" s="154">
        <f>SUMIF($BV$52:$BV$151, $C21,AR$52:AR$151)</f>
        <v>0</v>
      </c>
      <c r="AS21" s="154">
        <f>SUMIF($BV$52:$BV$151, $C21,AS$52:AS$151)</f>
        <v>0</v>
      </c>
      <c r="AT21" s="154">
        <f>SUMIF($BV$52:$BV$151, $C21,AT$52:AT$151)</f>
        <v>0</v>
      </c>
      <c r="AU21" s="154">
        <f>SUMIF($BV$52:$BV$151, $C21,AU$52:AU$151)</f>
        <v>0</v>
      </c>
      <c r="AV21" s="154">
        <f>SUMIF($BV$52:$BV$151, $C21,AV$52:AV$151)</f>
        <v>0</v>
      </c>
      <c r="AW21" s="154">
        <f>SUMIF($BV$52:$BV$151, $C21,AW$52:AW$151)</f>
        <v>0</v>
      </c>
      <c r="AX21" s="154">
        <f>SUMIF($BV$52:$BV$151, $C21,AX$52:AX$151)</f>
        <v>0</v>
      </c>
      <c r="AY21" s="154">
        <f>SUMIF($BV$52:$BV$151, $C21,AY$52:AY$151)</f>
        <v>0</v>
      </c>
      <c r="AZ21" s="154">
        <f>SUMIF($BV$52:$BV$151, $C21,AZ$52:AZ$151)</f>
        <v>0</v>
      </c>
      <c r="BA21" s="154">
        <f>SUMIF($BV$52:$BV$151, $C21,BA$52:BA$151)</f>
        <v>0</v>
      </c>
      <c r="BB21" s="154">
        <f>SUMIF($BV$52:$BV$151, $C21,BB$52:BB$151)</f>
        <v>0</v>
      </c>
      <c r="BC21" s="154">
        <f>SUMIF($BV$52:$BV$151, $C21,BC$52:BC$151)</f>
        <v>0</v>
      </c>
      <c r="BD21" s="154">
        <f>SUMIF($BV$52:$BV$151, $C21,BD$52:BD$151)</f>
        <v>0</v>
      </c>
      <c r="BE21" s="154">
        <f>SUMIF($BV$52:$BV$151, $C21,BE$52:BE$151)</f>
        <v>0</v>
      </c>
      <c r="BF21" s="154">
        <f>SUMIF($BV$52:$BV$151, $C21,BF$52:BF$151)</f>
        <v>0</v>
      </c>
      <c r="BG21" s="154">
        <f>SUMIF($BV$52:$BV$151, $C21,BG$52:BG$151)</f>
        <v>0</v>
      </c>
      <c r="BH21" s="154">
        <f>SUMIF($BV$52:$BV$151, $C21,BH$52:BH$151)</f>
        <v>0</v>
      </c>
      <c r="BI21" s="154">
        <f>SUMIF($BV$52:$BV$151, $C21,BI$52:BI$151)</f>
        <v>0</v>
      </c>
      <c r="BJ21" s="154">
        <f>SUMIF($BV$52:$BV$151, $C21,BJ$52:BJ$151)</f>
        <v>0</v>
      </c>
      <c r="BK21" s="154">
        <f>SUMIF($BV$52:$BV$151, $C21,BK$52:BK$151)</f>
        <v>0</v>
      </c>
      <c r="BL21" s="154">
        <f>SUMIF($BV$52:$BV$151, $C21,BL$52:BL$151)</f>
        <v>0</v>
      </c>
      <c r="BM21" s="154">
        <f>SUMIF($BV$52:$BV$151, $C21,BM$52:BM$151)</f>
        <v>0</v>
      </c>
      <c r="BN21" s="154">
        <f>SUMIF($BV$52:$BV$151, $C21,BN$52:BN$151)</f>
        <v>0</v>
      </c>
      <c r="BO21" s="154">
        <f>SUMIF($BV$52:$BV$151, $C21,BO$52:BO$151)</f>
        <v>0</v>
      </c>
      <c r="BP21" s="154">
        <f>SUMIF($BV$52:$BV$151, $C21,BP$52:BP$151)</f>
        <v>0</v>
      </c>
      <c r="BQ21" s="154">
        <f>SUMIF($BV$52:$BV$151, $C21,BQ$52:BQ$151)</f>
        <v>0</v>
      </c>
      <c r="BR21" s="154">
        <f>SUMIF($BV$52:$BV$151, $C21,BR$52:BR$151)</f>
        <v>0</v>
      </c>
      <c r="BS21" s="154">
        <f>SUMIF($BV$52:$BV$151, $C21,BS$52:BS$151)</f>
        <v>0</v>
      </c>
      <c r="BT21" s="1"/>
      <c r="BU21" s="1"/>
      <c r="BV21" s="23"/>
      <c r="BW21" s="1"/>
      <c r="BX21" s="23"/>
      <c r="BY21" s="1"/>
    </row>
    <row r="22" spans="1:77" ht="16" x14ac:dyDescent="0.15">
      <c r="A22" s="14"/>
      <c r="B22" s="1067"/>
      <c r="C22" s="34" t="str">
        <f t="shared" ref="C22:C25" si="11">C75</f>
        <v>Wood piles</v>
      </c>
      <c r="D22" s="220"/>
      <c r="E22" s="28" t="str">
        <f ca="1">IFERROR(__xludf.DUMMYFUNCTION("ifna(JOIN(""; "", unique(FILTER(E$52:E$153,$CF$52:$CF$153=$C22,E$52:E$153&lt;&gt;""""))),"""")"),"")</f>
        <v/>
      </c>
      <c r="F22" s="24">
        <f>SUMIF($BV$52:$BV$151, $C22,F$52:F$151)</f>
        <v>0</v>
      </c>
      <c r="G22" s="24">
        <f>SUMIF($BV$52:$BV$151, $C22,G$52:G$151)</f>
        <v>0</v>
      </c>
      <c r="H22" s="27">
        <f>SUMIF($BV$52:$BV$151, $C22,H$52:H$151)</f>
        <v>6</v>
      </c>
      <c r="I22" s="247" t="str">
        <f ca="1">IFERROR(__xludf.DUMMYFUNCTION("ifna(JOIN(""; "", unique(FILTER(I$52:I$153,$CF$52:$CF$153=$C22,I$52:I$153&lt;&gt;""""))),"""")"),"Use on site materials")</f>
        <v>Use on site materials</v>
      </c>
      <c r="J22" s="248" t="str">
        <f ca="1">IFERROR(__xludf.DUMMYFUNCTION("ifna(JOIN(""; "", unique(FILTER(J$52:J$153,$CF$52:$CF$153=$C22,J$52:J$153&lt;&gt;""""))),"""")"),"-")</f>
        <v>-</v>
      </c>
      <c r="K22" s="30">
        <f>IFERROR((SUMIF($BV$52:$BV$151, $C22,L$52:L$151)/IF($H22&gt;0,$H22,SUM($F22:$G22))),"")</f>
        <v>0</v>
      </c>
      <c r="L22" s="31">
        <f>SUMIF($BV$52:$BV$151, $C22,L$52:L$151)</f>
        <v>0</v>
      </c>
      <c r="M22" s="247" t="str">
        <f ca="1">IFERROR(__xludf.DUMMYFUNCTION("ifna(JOIN(""; "", unique(FILTER(M$52:M$153,$CF$52:$CF$153=$C22,M$52:M$153&lt;&gt;""""))),"""")"),"Minor machine time")</f>
        <v>Minor machine time</v>
      </c>
      <c r="N22" s="30">
        <f>IFERROR((SUMIF($BV$52:$BV$151, $C22,O$52:O$151)/IF($H22&gt;0,$H22,SUM($F22:$G22))),"")</f>
        <v>92.5</v>
      </c>
      <c r="O22" s="31">
        <f>SUMIF($BV$52:$BV$151, $C22,O$52:O$151)</f>
        <v>555</v>
      </c>
      <c r="P22" s="31">
        <f t="shared" si="4"/>
        <v>555</v>
      </c>
      <c r="Q22" s="218" t="str">
        <f ca="1">IFERROR(__xludf.DUMMYFUNCTION("ifna(JOIN(""; "", unique(FILTER(Q$52:Q$153,$CF$52:$CF$153=$C22,Q$52:Q$153&lt;&gt;""""))),"""")"),"-")</f>
        <v>-</v>
      </c>
      <c r="R22" s="247" t="str">
        <f ca="1">IFERROR(__xludf.DUMMYFUNCTION("ifna(JOIN(""; "", unique(FILTER(R$52:R$153,$CF$52:$CF$153=$C22,R$52:R$153&lt;&gt;""""))),"""")"),"-")</f>
        <v>-</v>
      </c>
      <c r="S22" s="247" t="str">
        <f ca="1">IFERROR(__xludf.DUMMYFUNCTION("ifna(JOIN(""; "", unique(FILTER(S$52:S$153,$CF$52:$CF$153=$C22,S$52:S$153&lt;&gt;""""))),"""")"),"-")</f>
        <v>-</v>
      </c>
      <c r="T22" s="30">
        <f>IFERROR((SUMIF($BV$52:$BV$151, $C22,U$52:U$151)/IF($H22&gt;0,$H22,SUM($F22:$G22))),"")</f>
        <v>0</v>
      </c>
      <c r="U22" s="31">
        <f>SUMIF($BV$52:$BV$151, $C22,U$52:U$151)</f>
        <v>0</v>
      </c>
      <c r="V22" s="28" t="str">
        <f ca="1">IFERROR(__xludf.DUMMYFUNCTION("ifna(JOIN(""; "", unique(FILTER(V$52:V$153,$CF$52:$CF$153=$C22,V$52:V$153&lt;&gt;""""))),"""")"),"")</f>
        <v/>
      </c>
      <c r="W22" s="28" t="str">
        <f ca="1">IFERROR(__xludf.DUMMYFUNCTION("ifna(JOIN(""; "", unique(FILTER(W$52:W$153,$CF$52:$CF$153=$C22,W$52:W$153&lt;&gt;""""))),"""")"),"")</f>
        <v/>
      </c>
      <c r="X22" s="219">
        <f>IFERROR((SUMIF($BV$52:$BV$151, $C22,Y$52:Y$151)/IF($H22&gt;0,$H22,SUM($F22:$G22))),"")</f>
        <v>0</v>
      </c>
      <c r="Y22" s="33">
        <f>SUMIF($BV$52:$BV$151, $C22,Y$52:Y$151)</f>
        <v>0</v>
      </c>
      <c r="Z22" s="1"/>
      <c r="AA22" s="154">
        <f>SUMIF($BV$52:$BV$151, $C22,AA$52:AA$151)</f>
        <v>555</v>
      </c>
      <c r="AB22" s="1"/>
      <c r="AC22" s="214"/>
      <c r="AD22" s="214"/>
      <c r="AE22" s="154">
        <f>SUMIF($BV$52:$BV$151, $C22,AE$52:AE$151)</f>
        <v>555</v>
      </c>
      <c r="AF22" s="154">
        <f>SUMIF($BV$52:$BV$151, $C22,AF$52:AF$151)</f>
        <v>0</v>
      </c>
      <c r="AG22" s="154">
        <f>SUMIF($BV$52:$BV$151, $C22,AG$52:AG$151)</f>
        <v>0</v>
      </c>
      <c r="AH22" s="154">
        <f>SUMIF($BV$52:$BV$151, $C22,AH$52:AH$151)</f>
        <v>0</v>
      </c>
      <c r="AI22" s="154">
        <f>SUMIF($BV$52:$BV$151, $C22,AI$52:AI$151)</f>
        <v>0</v>
      </c>
      <c r="AJ22" s="154">
        <f>SUMIF($BV$52:$BV$151, $C22,AJ$52:AJ$151)</f>
        <v>0</v>
      </c>
      <c r="AK22" s="154">
        <f>SUMIF($BV$52:$BV$151, $C22,AK$52:AK$151)</f>
        <v>0</v>
      </c>
      <c r="AL22" s="154">
        <f>SUMIF($BV$52:$BV$151, $C22,AL$52:AL$151)</f>
        <v>0</v>
      </c>
      <c r="AM22" s="154">
        <f>SUMIF($BV$52:$BV$151, $C22,AM$52:AM$151)</f>
        <v>0</v>
      </c>
      <c r="AN22" s="154">
        <f>SUMIF($BV$52:$BV$151, $C22,AN$52:AN$151)</f>
        <v>0</v>
      </c>
      <c r="AO22" s="154">
        <f>SUMIF($BV$52:$BV$151, $C22,AO$52:AO$151)</f>
        <v>0</v>
      </c>
      <c r="AP22" s="154">
        <f>SUMIF($BV$52:$BV$151, $C22,AP$52:AP$151)</f>
        <v>0</v>
      </c>
      <c r="AQ22" s="154">
        <f>SUMIF($BV$52:$BV$151, $C22,AQ$52:AQ$151)</f>
        <v>0</v>
      </c>
      <c r="AR22" s="154">
        <f>SUMIF($BV$52:$BV$151, $C22,AR$52:AR$151)</f>
        <v>0</v>
      </c>
      <c r="AS22" s="154">
        <f>SUMIF($BV$52:$BV$151, $C22,AS$52:AS$151)</f>
        <v>0</v>
      </c>
      <c r="AT22" s="154">
        <f>SUMIF($BV$52:$BV$151, $C22,AT$52:AT$151)</f>
        <v>0</v>
      </c>
      <c r="AU22" s="154">
        <f>SUMIF($BV$52:$BV$151, $C22,AU$52:AU$151)</f>
        <v>0</v>
      </c>
      <c r="AV22" s="154">
        <f>SUMIF($BV$52:$BV$151, $C22,AV$52:AV$151)</f>
        <v>0</v>
      </c>
      <c r="AW22" s="154">
        <f>SUMIF($BV$52:$BV$151, $C22,AW$52:AW$151)</f>
        <v>0</v>
      </c>
      <c r="AX22" s="154">
        <f>SUMIF($BV$52:$BV$151, $C22,AX$52:AX$151)</f>
        <v>0</v>
      </c>
      <c r="AY22" s="154">
        <f>SUMIF($BV$52:$BV$151, $C22,AY$52:AY$151)</f>
        <v>0</v>
      </c>
      <c r="AZ22" s="154">
        <f>SUMIF($BV$52:$BV$151, $C22,AZ$52:AZ$151)</f>
        <v>0</v>
      </c>
      <c r="BA22" s="154">
        <f>SUMIF($BV$52:$BV$151, $C22,BA$52:BA$151)</f>
        <v>0</v>
      </c>
      <c r="BB22" s="154">
        <f>SUMIF($BV$52:$BV$151, $C22,BB$52:BB$151)</f>
        <v>0</v>
      </c>
      <c r="BC22" s="154">
        <f>SUMIF($BV$52:$BV$151, $C22,BC$52:BC$151)</f>
        <v>0</v>
      </c>
      <c r="BD22" s="154">
        <f>SUMIF($BV$52:$BV$151, $C22,BD$52:BD$151)</f>
        <v>0</v>
      </c>
      <c r="BE22" s="154">
        <f>SUMIF($BV$52:$BV$151, $C22,BE$52:BE$151)</f>
        <v>0</v>
      </c>
      <c r="BF22" s="154">
        <f>SUMIF($BV$52:$BV$151, $C22,BF$52:BF$151)</f>
        <v>0</v>
      </c>
      <c r="BG22" s="154">
        <f>SUMIF($BV$52:$BV$151, $C22,BG$52:BG$151)</f>
        <v>0</v>
      </c>
      <c r="BH22" s="154">
        <f>SUMIF($BV$52:$BV$151, $C22,BH$52:BH$151)</f>
        <v>0</v>
      </c>
      <c r="BI22" s="154">
        <f>SUMIF($BV$52:$BV$151, $C22,BI$52:BI$151)</f>
        <v>0</v>
      </c>
      <c r="BJ22" s="154">
        <f>SUMIF($BV$52:$BV$151, $C22,BJ$52:BJ$151)</f>
        <v>0</v>
      </c>
      <c r="BK22" s="154">
        <f>SUMIF($BV$52:$BV$151, $C22,BK$52:BK$151)</f>
        <v>0</v>
      </c>
      <c r="BL22" s="154">
        <f>SUMIF($BV$52:$BV$151, $C22,BL$52:BL$151)</f>
        <v>0</v>
      </c>
      <c r="BM22" s="154">
        <f>SUMIF($BV$52:$BV$151, $C22,BM$52:BM$151)</f>
        <v>0</v>
      </c>
      <c r="BN22" s="154">
        <f>SUMIF($BV$52:$BV$151, $C22,BN$52:BN$151)</f>
        <v>0</v>
      </c>
      <c r="BO22" s="154">
        <f>SUMIF($BV$52:$BV$151, $C22,BO$52:BO$151)</f>
        <v>0</v>
      </c>
      <c r="BP22" s="154">
        <f>SUMIF($BV$52:$BV$151, $C22,BP$52:BP$151)</f>
        <v>0</v>
      </c>
      <c r="BQ22" s="154">
        <f>SUMIF($BV$52:$BV$151, $C22,BQ$52:BQ$151)</f>
        <v>0</v>
      </c>
      <c r="BR22" s="154">
        <f>SUMIF($BV$52:$BV$151, $C22,BR$52:BR$151)</f>
        <v>0</v>
      </c>
      <c r="BS22" s="154">
        <f>SUMIF($BV$52:$BV$151, $C22,BS$52:BS$151)</f>
        <v>0</v>
      </c>
      <c r="BT22" s="1"/>
      <c r="BU22" s="1"/>
      <c r="BV22" s="23"/>
      <c r="BW22" s="1"/>
      <c r="BX22" s="23"/>
      <c r="BY22" s="1"/>
    </row>
    <row r="23" spans="1:77" ht="32" x14ac:dyDescent="0.15">
      <c r="A23" s="14"/>
      <c r="B23" s="1067"/>
      <c r="C23" s="34" t="str">
        <f t="shared" si="11"/>
        <v>Bat boxes</v>
      </c>
      <c r="D23" s="220"/>
      <c r="E23" s="28" t="str">
        <f ca="1">IFERROR(__xludf.DUMMYFUNCTION("ifna(JOIN(""; "", unique(FILTER(E$52:E$153,$CF$52:$CF$153=$C23,E$52:E$153&lt;&gt;""""))),"""")"),"")</f>
        <v/>
      </c>
      <c r="F23" s="24">
        <f>SUMIF($BV$52:$BV$151, $C23,F$52:F$151)</f>
        <v>0</v>
      </c>
      <c r="G23" s="24">
        <f>SUMIF($BV$52:$BV$151, $C23,G$52:G$151)</f>
        <v>0</v>
      </c>
      <c r="H23" s="27">
        <f>SUMIF($BV$52:$BV$151, $C23,H$52:H$151)</f>
        <v>20</v>
      </c>
      <c r="I23" s="247" t="str">
        <f ca="1">IFERROR(__xludf.DUMMYFUNCTION("ifna(JOIN(""; "", unique(FILTER(I$52:I$153,$CF$52:$CF$153=$C23,I$52:I$153&lt;&gt;""""))),"""")"),"-")</f>
        <v>-</v>
      </c>
      <c r="J23" s="248" t="str">
        <f ca="1">IFERROR(__xludf.DUMMYFUNCTION("ifna(JOIN(""; "", unique(FILTER(J$52:J$153,$CF$52:$CF$153=$C23,J$52:J$153&lt;&gt;""""))),"""")"),"-")</f>
        <v>-</v>
      </c>
      <c r="K23" s="30">
        <f>IFERROR((SUMIF($BV$52:$BV$151, $C23,L$52:L$151)/IF($H23&gt;0,$H23,SUM($F23:$G23))),"")</f>
        <v>120</v>
      </c>
      <c r="L23" s="31">
        <f>SUMIF($BV$52:$BV$151, $C23,L$52:L$151)</f>
        <v>2400</v>
      </c>
      <c r="M23" s="247" t="str">
        <f ca="1">IFERROR(__xludf.DUMMYFUNCTION("ifna(JOIN(""; "", unique(FILTER(M$52:M$153,$CF$52:$CF$153=$C23,M$52:M$153&lt;&gt;""""))),"""")"),"-")</f>
        <v>-</v>
      </c>
      <c r="N23" s="30">
        <f>IFERROR((SUMIF($BV$52:$BV$151, $C23,O$52:O$151)/IF($H23&gt;0,$H23,SUM($F23:$G23))),"")</f>
        <v>40</v>
      </c>
      <c r="O23" s="31">
        <f>SUMIF($BV$52:$BV$151, $C23,O$52:O$151)</f>
        <v>800</v>
      </c>
      <c r="P23" s="31">
        <f t="shared" si="4"/>
        <v>3200</v>
      </c>
      <c r="Q23" s="218" t="str">
        <f ca="1">IFERROR(__xludf.DUMMYFUNCTION("ifna(JOIN(""; "", unique(FILTER(Q$52:Q$153,$CF$52:$CF$153=$C23,Q$52:Q$153&lt;&gt;""""))),"""")"),"-")</f>
        <v>-</v>
      </c>
      <c r="R23" s="247" t="str">
        <f ca="1">IFERROR(__xludf.DUMMYFUNCTION("ifna(JOIN(""; "", unique(FILTER(R$52:R$153,$CF$52:$CF$153=$C23,R$52:R$153&lt;&gt;""""))),"""")"),"-")</f>
        <v>-</v>
      </c>
      <c r="S23" s="247" t="str">
        <f ca="1">IFERROR(__xludf.DUMMYFUNCTION("ifna(JOIN(""; "", unique(FILTER(S$52:S$153,$CF$52:$CF$153=$C23,S$52:S$153&lt;&gt;""""))),"""")"),"-")</f>
        <v>-</v>
      </c>
      <c r="T23" s="30">
        <f>IFERROR((SUMIF($BV$52:$BV$151, $C23,U$52:U$151)/IF($H23&gt;0,$H23,SUM($F23:$G23))),"")</f>
        <v>0</v>
      </c>
      <c r="U23" s="31">
        <f>SUMIF($BV$52:$BV$151, $C23,U$52:U$151)</f>
        <v>0</v>
      </c>
      <c r="V23" s="28" t="str">
        <f ca="1">IFERROR(__xludf.DUMMYFUNCTION("ifna(JOIN(""; "", unique(FILTER(V$52:V$153,$CF$52:$CF$153=$C23,V$52:V$153&lt;&gt;""""))),"""")"),"Replacement of nesting and roosting structures after five years")</f>
        <v>Replacement of nesting and roosting structures after five years</v>
      </c>
      <c r="W23" s="28" t="str">
        <f ca="1">IFERROR(__xludf.DUMMYFUNCTION("ifna(JOIN(""; "", unique(FILTER(W$52:W$153,$CF$52:$CF$153=$C23,W$52:W$153&lt;&gt;""""))),"""")"),"0.2")</f>
        <v>0.2</v>
      </c>
      <c r="X23" s="219">
        <f>IFERROR((SUMIF($BV$52:$BV$151, $C23,Y$52:Y$151)/IF($H23&gt;0,$H23,SUM($F23:$G23))),"")</f>
        <v>32</v>
      </c>
      <c r="Y23" s="33">
        <f>SUMIF($BV$52:$BV$151, $C23,Y$52:Y$151)</f>
        <v>640</v>
      </c>
      <c r="Z23" s="1"/>
      <c r="AA23" s="154">
        <f>SUMIF($BV$52:$BV$151, $C23,AA$52:AA$151)</f>
        <v>13400.857504275378</v>
      </c>
      <c r="AB23" s="1"/>
      <c r="AC23" s="214"/>
      <c r="AD23" s="214"/>
      <c r="AE23" s="154">
        <f>SUMIF($BV$52:$BV$151, $C23,AE$52:AE$151)</f>
        <v>3200</v>
      </c>
      <c r="AF23" s="154">
        <f>SUMIF($BV$52:$BV$151, $C23,AF$52:AF$151)</f>
        <v>0</v>
      </c>
      <c r="AG23" s="154">
        <f>SUMIF($BV$52:$BV$151, $C23,AG$52:AG$151)</f>
        <v>0</v>
      </c>
      <c r="AH23" s="154">
        <f>SUMIF($BV$52:$BV$151, $C23,AH$52:AH$151)</f>
        <v>0</v>
      </c>
      <c r="AI23" s="154">
        <f>SUMIF($BV$52:$BV$151, $C23,AI$52:AI$151)</f>
        <v>706.44024999999988</v>
      </c>
      <c r="AJ23" s="154">
        <f>SUMIF($BV$52:$BV$151, $C23,AJ$52:AJ$151)</f>
        <v>724.10125624999978</v>
      </c>
      <c r="AK23" s="154">
        <f>SUMIF($BV$52:$BV$151, $C23,AK$52:AK$151)</f>
        <v>742.20378765624969</v>
      </c>
      <c r="AL23" s="154">
        <f>SUMIF($BV$52:$BV$151, $C23,AL$52:AL$151)</f>
        <v>760.75888234765603</v>
      </c>
      <c r="AM23" s="154">
        <f>SUMIF($BV$52:$BV$151, $C23,AM$52:AM$151)</f>
        <v>779.77785440634739</v>
      </c>
      <c r="AN23" s="154">
        <f>SUMIF($BV$52:$BV$151, $C23,AN$52:AN$151)</f>
        <v>799.27230076650585</v>
      </c>
      <c r="AO23" s="154">
        <f>SUMIF($BV$52:$BV$151, $C23,AO$52:AO$151)</f>
        <v>819.25410828566851</v>
      </c>
      <c r="AP23" s="154">
        <f>SUMIF($BV$52:$BV$151, $C23,AP$52:AP$151)</f>
        <v>839.7354609928102</v>
      </c>
      <c r="AQ23" s="154">
        <f>SUMIF($BV$52:$BV$151, $C23,AQ$52:AQ$151)</f>
        <v>860.72884751763036</v>
      </c>
      <c r="AR23" s="154">
        <f>SUMIF($BV$52:$BV$151, $C23,AR$52:AR$151)</f>
        <v>882.24706870557111</v>
      </c>
      <c r="AS23" s="154">
        <f>SUMIF($BV$52:$BV$151, $C23,AS$52:AS$151)</f>
        <v>904.30324542321034</v>
      </c>
      <c r="AT23" s="154">
        <f>SUMIF($BV$52:$BV$151, $C23,AT$52:AT$151)</f>
        <v>926.91082655879075</v>
      </c>
      <c r="AU23" s="154">
        <f>SUMIF($BV$52:$BV$151, $C23,AU$52:AU$151)</f>
        <v>950.08359722276043</v>
      </c>
      <c r="AV23" s="154">
        <f>SUMIF($BV$52:$BV$151, $C23,AV$52:AV$151)</f>
        <v>973.83568715332922</v>
      </c>
      <c r="AW23" s="154">
        <f>SUMIF($BV$52:$BV$151, $C23,AW$52:AW$151)</f>
        <v>998.18157933216253</v>
      </c>
      <c r="AX23" s="154">
        <f>SUMIF($BV$52:$BV$151, $C23,AX$52:AX$151)</f>
        <v>1023.1361188154666</v>
      </c>
      <c r="AY23" s="154">
        <f>SUMIF($BV$52:$BV$151, $C23,AY$52:AY$151)</f>
        <v>1048.7145217858531</v>
      </c>
      <c r="AZ23" s="154">
        <f>SUMIF($BV$52:$BV$151, $C23,AZ$52:AZ$151)</f>
        <v>1074.9323848304994</v>
      </c>
      <c r="BA23" s="154">
        <f>SUMIF($BV$52:$BV$151, $C23,BA$52:BA$151)</f>
        <v>1101.8056944512618</v>
      </c>
      <c r="BB23" s="154">
        <f>SUMIF($BV$52:$BV$151, $C23,BB$52:BB$151)</f>
        <v>1129.3508368125433</v>
      </c>
      <c r="BC23" s="154">
        <f>SUMIF($BV$52:$BV$151, $C23,BC$52:BC$151)</f>
        <v>1157.584607732857</v>
      </c>
      <c r="BD23" s="154">
        <f>SUMIF($BV$52:$BV$151, $C23,BD$52:BD$151)</f>
        <v>1186.524222926178</v>
      </c>
      <c r="BE23" s="154">
        <f>SUMIF($BV$52:$BV$151, $C23,BE$52:BE$151)</f>
        <v>1216.1873284993326</v>
      </c>
      <c r="BF23" s="154">
        <f>SUMIF($BV$52:$BV$151, $C23,BF$52:BF$151)</f>
        <v>1246.5920117118158</v>
      </c>
      <c r="BG23" s="154">
        <f>SUMIF($BV$52:$BV$151, $C23,BG$52:BG$151)</f>
        <v>1277.756812004611</v>
      </c>
      <c r="BH23" s="154">
        <f>SUMIF($BV$52:$BV$151, $C23,BH$52:BH$151)</f>
        <v>1309.7007323047264</v>
      </c>
      <c r="BI23" s="154">
        <f>SUMIF($BV$52:$BV$151, $C23,BI$52:BI$151)</f>
        <v>1342.4432506123444</v>
      </c>
      <c r="BJ23" s="154">
        <f>SUMIF($BV$52:$BV$151, $C23,BJ$52:BJ$151)</f>
        <v>1376.0043318776534</v>
      </c>
      <c r="BK23" s="154">
        <f>SUMIF($BV$52:$BV$151, $C23,BK$52:BK$151)</f>
        <v>1410.4044401745944</v>
      </c>
      <c r="BL23" s="154">
        <f>SUMIF($BV$52:$BV$151, $C23,BL$52:BL$151)</f>
        <v>1445.6645511789591</v>
      </c>
      <c r="BM23" s="154">
        <f>SUMIF($BV$52:$BV$151, $C23,BM$52:BM$151)</f>
        <v>1481.8061649584331</v>
      </c>
      <c r="BN23" s="154">
        <f>SUMIF($BV$52:$BV$151, $C23,BN$52:BN$151)</f>
        <v>1518.8513190823937</v>
      </c>
      <c r="BO23" s="154">
        <f>SUMIF($BV$52:$BV$151, $C23,BO$52:BO$151)</f>
        <v>1556.8226020594536</v>
      </c>
      <c r="BP23" s="154">
        <f>SUMIF($BV$52:$BV$151, $C23,BP$52:BP$151)</f>
        <v>1595.7431671109398</v>
      </c>
      <c r="BQ23" s="154">
        <f>SUMIF($BV$52:$BV$151, $C23,BQ$52:BQ$151)</f>
        <v>1635.6367462887129</v>
      </c>
      <c r="BR23" s="154">
        <f>SUMIF($BV$52:$BV$151, $C23,BR$52:BR$151)</f>
        <v>1676.5276649459311</v>
      </c>
      <c r="BS23" s="154">
        <f>SUMIF($BV$52:$BV$151, $C23,BS$52:BS$151)</f>
        <v>1718.440856569579</v>
      </c>
      <c r="BT23" s="1"/>
      <c r="BU23" s="1"/>
      <c r="BV23" s="23"/>
      <c r="BW23" s="1"/>
      <c r="BX23" s="23"/>
      <c r="BY23" s="1"/>
    </row>
    <row r="24" spans="1:77" ht="32" x14ac:dyDescent="0.15">
      <c r="A24" s="14"/>
      <c r="B24" s="1067"/>
      <c r="C24" s="34" t="str">
        <f t="shared" si="11"/>
        <v>Bird boxes</v>
      </c>
      <c r="D24" s="220"/>
      <c r="E24" s="28" t="str">
        <f ca="1">IFERROR(__xludf.DUMMYFUNCTION("ifna(JOIN(""; "", unique(FILTER(E$52:E$153,$CF$52:$CF$153=$C24,E$52:E$153&lt;&gt;""""))),"""")"),"")</f>
        <v/>
      </c>
      <c r="F24" s="24">
        <f>SUMIF($BV$52:$BV$151, $C24,F$52:F$151)</f>
        <v>0</v>
      </c>
      <c r="G24" s="24">
        <f>SUMIF($BV$52:$BV$151, $C24,G$52:G$151)</f>
        <v>0</v>
      </c>
      <c r="H24" s="27">
        <f>SUMIF($BV$52:$BV$151, $C24,H$52:H$151)</f>
        <v>20</v>
      </c>
      <c r="I24" s="247" t="str">
        <f ca="1">IFERROR(__xludf.DUMMYFUNCTION("ifna(JOIN(""; "", unique(FILTER(I$52:I$153,$CF$52:$CF$153=$C24,I$52:I$153&lt;&gt;""""))),"""")"),"-")</f>
        <v>-</v>
      </c>
      <c r="J24" s="248" t="str">
        <f ca="1">IFERROR(__xludf.DUMMYFUNCTION("ifna(JOIN(""; "", unique(FILTER(J$52:J$153,$CF$52:$CF$153=$C24,J$52:J$153&lt;&gt;""""))),"""")"),"-")</f>
        <v>-</v>
      </c>
      <c r="K24" s="30">
        <f>IFERROR((SUMIF($BV$52:$BV$151, $C24,L$52:L$151)/IF($H24&gt;0,$H24,SUM($F24:$G24))),"")</f>
        <v>80</v>
      </c>
      <c r="L24" s="31">
        <f>SUMIF($BV$52:$BV$151, $C24,L$52:L$151)</f>
        <v>1600</v>
      </c>
      <c r="M24" s="247" t="str">
        <f ca="1">IFERROR(__xludf.DUMMYFUNCTION("ifna(JOIN(""; "", unique(FILTER(M$52:M$153,$CF$52:$CF$153=$C24,M$52:M$153&lt;&gt;""""))),"""")"),"-")</f>
        <v>-</v>
      </c>
      <c r="N24" s="30">
        <f>IFERROR((SUMIF($BV$52:$BV$151, $C24,O$52:O$151)/IF($H24&gt;0,$H24,SUM($F24:$G24))),"")</f>
        <v>40</v>
      </c>
      <c r="O24" s="31">
        <f>SUMIF($BV$52:$BV$151, $C24,O$52:O$151)</f>
        <v>800</v>
      </c>
      <c r="P24" s="31">
        <f t="shared" si="4"/>
        <v>2400</v>
      </c>
      <c r="Q24" s="218" t="str">
        <f ca="1">IFERROR(__xludf.DUMMYFUNCTION("ifna(JOIN(""; "", unique(FILTER(Q$52:Q$153,$CF$52:$CF$153=$C24,Q$52:Q$153&lt;&gt;""""))),"""")"),"-")</f>
        <v>-</v>
      </c>
      <c r="R24" s="247" t="str">
        <f ca="1">IFERROR(__xludf.DUMMYFUNCTION("ifna(JOIN(""; "", unique(FILTER(R$52:R$153,$CF$52:$CF$153=$C24,R$52:R$153&lt;&gt;""""))),"""")"),"-")</f>
        <v>-</v>
      </c>
      <c r="S24" s="247" t="str">
        <f ca="1">IFERROR(__xludf.DUMMYFUNCTION("ifna(JOIN(""; "", unique(FILTER(S$52:S$153,$CF$52:$CF$153=$C24,S$52:S$153&lt;&gt;""""))),"""")"),"-")</f>
        <v>-</v>
      </c>
      <c r="T24" s="30">
        <f>IFERROR((SUMIF($BV$52:$BV$151, $C24,U$52:U$151)/IF($H24&gt;0,$H24,SUM($F24:$G24))),"")</f>
        <v>0</v>
      </c>
      <c r="U24" s="31">
        <f>SUMIF($BV$52:$BV$151, $C24,U$52:U$151)</f>
        <v>0</v>
      </c>
      <c r="V24" s="28" t="str">
        <f ca="1">IFERROR(__xludf.DUMMYFUNCTION("ifna(JOIN(""; "", unique(FILTER(V$52:V$153,$CF$52:$CF$153=$C24,V$52:V$153&lt;&gt;""""))),"""")"),"Replacement of nesting and roosting structures after five years")</f>
        <v>Replacement of nesting and roosting structures after five years</v>
      </c>
      <c r="W24" s="28" t="str">
        <f ca="1">IFERROR(__xludf.DUMMYFUNCTION("ifna(JOIN(""; "", unique(FILTER(W$52:W$153,$CF$52:$CF$153=$C24,W$52:W$153&lt;&gt;""""))),"""")"),"0.2")</f>
        <v>0.2</v>
      </c>
      <c r="X24" s="219">
        <f>IFERROR((SUMIF($BV$52:$BV$151, $C24,Y$52:Y$151)/IF($H24&gt;0,$H24,SUM($F24:$G24))),"")</f>
        <v>24</v>
      </c>
      <c r="Y24" s="33">
        <f>SUMIF($BV$52:$BV$151, $C24,Y$52:Y$151)</f>
        <v>480</v>
      </c>
      <c r="Z24" s="1"/>
      <c r="AA24" s="154">
        <f>SUMIF($BV$52:$BV$151, $C24,AA$52:AA$151)</f>
        <v>10050.643128206531</v>
      </c>
      <c r="AB24" s="1"/>
      <c r="AC24" s="214"/>
      <c r="AD24" s="214"/>
      <c r="AE24" s="154">
        <f>SUMIF($BV$52:$BV$151, $C24,AE$52:AE$151)</f>
        <v>2400</v>
      </c>
      <c r="AF24" s="154">
        <f>SUMIF($BV$52:$BV$151, $C24,AF$52:AF$151)</f>
        <v>0</v>
      </c>
      <c r="AG24" s="154">
        <f>SUMIF($BV$52:$BV$151, $C24,AG$52:AG$151)</f>
        <v>0</v>
      </c>
      <c r="AH24" s="154">
        <f>SUMIF($BV$52:$BV$151, $C24,AH$52:AH$151)</f>
        <v>0</v>
      </c>
      <c r="AI24" s="154">
        <f>SUMIF($BV$52:$BV$151, $C24,AI$52:AI$151)</f>
        <v>529.83018749999985</v>
      </c>
      <c r="AJ24" s="154">
        <f>SUMIF($BV$52:$BV$151, $C24,AJ$52:AJ$151)</f>
        <v>543.07594218749978</v>
      </c>
      <c r="AK24" s="154">
        <f>SUMIF($BV$52:$BV$151, $C24,AK$52:AK$151)</f>
        <v>556.65284074218732</v>
      </c>
      <c r="AL24" s="154">
        <f>SUMIF($BV$52:$BV$151, $C24,AL$52:AL$151)</f>
        <v>570.56916176074196</v>
      </c>
      <c r="AM24" s="154">
        <f>SUMIF($BV$52:$BV$151, $C24,AM$52:AM$151)</f>
        <v>584.83339080476048</v>
      </c>
      <c r="AN24" s="154">
        <f>SUMIF($BV$52:$BV$151, $C24,AN$52:AN$151)</f>
        <v>599.45422557487939</v>
      </c>
      <c r="AO24" s="154">
        <f>SUMIF($BV$52:$BV$151, $C24,AO$52:AO$151)</f>
        <v>614.44058121425144</v>
      </c>
      <c r="AP24" s="154">
        <f>SUMIF($BV$52:$BV$151, $C24,AP$52:AP$151)</f>
        <v>629.80159574460765</v>
      </c>
      <c r="AQ24" s="154">
        <f>SUMIF($BV$52:$BV$151, $C24,AQ$52:AQ$151)</f>
        <v>645.54663563822282</v>
      </c>
      <c r="AR24" s="154">
        <f>SUMIF($BV$52:$BV$151, $C24,AR$52:AR$151)</f>
        <v>661.68530152917833</v>
      </c>
      <c r="AS24" s="154">
        <f>SUMIF($BV$52:$BV$151, $C24,AS$52:AS$151)</f>
        <v>678.22743406740778</v>
      </c>
      <c r="AT24" s="154">
        <f>SUMIF($BV$52:$BV$151, $C24,AT$52:AT$151)</f>
        <v>695.18311991909309</v>
      </c>
      <c r="AU24" s="154">
        <f>SUMIF($BV$52:$BV$151, $C24,AU$52:AU$151)</f>
        <v>712.5626979170703</v>
      </c>
      <c r="AV24" s="154">
        <f>SUMIF($BV$52:$BV$151, $C24,AV$52:AV$151)</f>
        <v>730.37676536499691</v>
      </c>
      <c r="AW24" s="154">
        <f>SUMIF($BV$52:$BV$151, $C24,AW$52:AW$151)</f>
        <v>748.6361844991219</v>
      </c>
      <c r="AX24" s="154">
        <f>SUMIF($BV$52:$BV$151, $C24,AX$52:AX$151)</f>
        <v>767.35208911159998</v>
      </c>
      <c r="AY24" s="154">
        <f>SUMIF($BV$52:$BV$151, $C24,AY$52:AY$151)</f>
        <v>786.53589133938988</v>
      </c>
      <c r="AZ24" s="154">
        <f>SUMIF($BV$52:$BV$151, $C24,AZ$52:AZ$151)</f>
        <v>806.19928862287452</v>
      </c>
      <c r="BA24" s="154">
        <f>SUMIF($BV$52:$BV$151, $C24,BA$52:BA$151)</f>
        <v>826.35427083844638</v>
      </c>
      <c r="BB24" s="154">
        <f>SUMIF($BV$52:$BV$151, $C24,BB$52:BB$151)</f>
        <v>847.01312760940755</v>
      </c>
      <c r="BC24" s="154">
        <f>SUMIF($BV$52:$BV$151, $C24,BC$52:BC$151)</f>
        <v>868.18845579964272</v>
      </c>
      <c r="BD24" s="154">
        <f>SUMIF($BV$52:$BV$151, $C24,BD$52:BD$151)</f>
        <v>889.89316719463363</v>
      </c>
      <c r="BE24" s="154">
        <f>SUMIF($BV$52:$BV$151, $C24,BE$52:BE$151)</f>
        <v>912.14049637449943</v>
      </c>
      <c r="BF24" s="154">
        <f>SUMIF($BV$52:$BV$151, $C24,BF$52:BF$151)</f>
        <v>934.94400878386182</v>
      </c>
      <c r="BG24" s="154">
        <f>SUMIF($BV$52:$BV$151, $C24,BG$52:BG$151)</f>
        <v>958.3176090034583</v>
      </c>
      <c r="BH24" s="154">
        <f>SUMIF($BV$52:$BV$151, $C24,BH$52:BH$151)</f>
        <v>982.27554922854483</v>
      </c>
      <c r="BI24" s="154">
        <f>SUMIF($BV$52:$BV$151, $C24,BI$52:BI$151)</f>
        <v>1006.8324379592583</v>
      </c>
      <c r="BJ24" s="154">
        <f>SUMIF($BV$52:$BV$151, $C24,BJ$52:BJ$151)</f>
        <v>1032.00324890824</v>
      </c>
      <c r="BK24" s="154">
        <f>SUMIF($BV$52:$BV$151, $C24,BK$52:BK$151)</f>
        <v>1057.8033301309458</v>
      </c>
      <c r="BL24" s="154">
        <f>SUMIF($BV$52:$BV$151, $C24,BL$52:BL$151)</f>
        <v>1084.2484133842192</v>
      </c>
      <c r="BM24" s="154">
        <f>SUMIF($BV$52:$BV$151, $C24,BM$52:BM$151)</f>
        <v>1111.3546237188248</v>
      </c>
      <c r="BN24" s="154">
        <f>SUMIF($BV$52:$BV$151, $C24,BN$52:BN$151)</f>
        <v>1139.1384893117952</v>
      </c>
      <c r="BO24" s="154">
        <f>SUMIF($BV$52:$BV$151, $C24,BO$52:BO$151)</f>
        <v>1167.6169515445902</v>
      </c>
      <c r="BP24" s="154">
        <f>SUMIF($BV$52:$BV$151, $C24,BP$52:BP$151)</f>
        <v>1196.8073753332048</v>
      </c>
      <c r="BQ24" s="154">
        <f>SUMIF($BV$52:$BV$151, $C24,BQ$52:BQ$151)</f>
        <v>1226.7275597165346</v>
      </c>
      <c r="BR24" s="154">
        <f>SUMIF($BV$52:$BV$151, $C24,BR$52:BR$151)</f>
        <v>1257.3957487094483</v>
      </c>
      <c r="BS24" s="154">
        <f>SUMIF($BV$52:$BV$151, $C24,BS$52:BS$151)</f>
        <v>1288.8306424271843</v>
      </c>
      <c r="BT24" s="1"/>
      <c r="BU24" s="1"/>
      <c r="BV24" s="23"/>
      <c r="BW24" s="1"/>
      <c r="BX24" s="23"/>
      <c r="BY24" s="1"/>
    </row>
    <row r="25" spans="1:77" ht="16" x14ac:dyDescent="0.15">
      <c r="A25" s="14"/>
      <c r="B25" s="1067"/>
      <c r="C25" s="34" t="str">
        <f t="shared" si="11"/>
        <v>Bee hives</v>
      </c>
      <c r="D25" s="220"/>
      <c r="E25" s="28" t="str">
        <f ca="1">IFERROR(__xludf.DUMMYFUNCTION("ifna(JOIN(""; "", unique(FILTER(E$52:E$153,$CF$52:$CF$153=$C25,E$52:E$153&lt;&gt;""""))),"""")"),"")</f>
        <v/>
      </c>
      <c r="F25" s="24">
        <f>SUMIF($BV$52:$BV$151, $C25,F$52:F$151)</f>
        <v>0</v>
      </c>
      <c r="G25" s="24">
        <f>SUMIF($BV$52:$BV$151, $C25,G$52:G$151)</f>
        <v>0</v>
      </c>
      <c r="H25" s="27">
        <f>SUMIF($BV$52:$BV$151, $C25,H$52:H$151)</f>
        <v>2</v>
      </c>
      <c r="I25" s="247" t="str">
        <f ca="1">IFERROR(__xludf.DUMMYFUNCTION("ifna(JOIN(""; "", unique(FILTER(I$52:I$153,$CF$52:$CF$153=$C25,I$52:I$153&lt;&gt;""""))),"""")"),"-")</f>
        <v>-</v>
      </c>
      <c r="J25" s="248" t="str">
        <f ca="1">IFERROR(__xludf.DUMMYFUNCTION("ifna(JOIN(""; "", unique(FILTER(J$52:J$153,$CF$52:$CF$153=$C25,J$52:J$153&lt;&gt;""""))),"""")"),"-")</f>
        <v>-</v>
      </c>
      <c r="K25" s="30">
        <f>IFERROR((SUMIF($BV$52:$BV$151, $C25,L$52:L$151)/IF($H25&gt;0,$H25,SUM($F25:$G25))),"")</f>
        <v>760</v>
      </c>
      <c r="L25" s="31">
        <f>SUMIF($BV$52:$BV$151, $C25,L$52:L$151)</f>
        <v>1520</v>
      </c>
      <c r="M25" s="247" t="str">
        <f ca="1">IFERROR(__xludf.DUMMYFUNCTION("ifna(JOIN(""; "", unique(FILTER(M$52:M$153,$CF$52:$CF$153=$C25,M$52:M$153&lt;&gt;""""))),"""")"),"-")</f>
        <v>-</v>
      </c>
      <c r="N25" s="30">
        <f>IFERROR((SUMIF($BV$52:$BV$151, $C25,O$52:O$151)/IF($H25&gt;0,$H25,SUM($F25:$G25))),"")</f>
        <v>0</v>
      </c>
      <c r="O25" s="31">
        <f>SUMIF($BV$52:$BV$151, $C25,O$52:O$151)</f>
        <v>0</v>
      </c>
      <c r="P25" s="31">
        <f t="shared" si="4"/>
        <v>1520</v>
      </c>
      <c r="Q25" s="218" t="str">
        <f ca="1">IFERROR(__xludf.DUMMYFUNCTION("ifna(JOIN(""; "", unique(FILTER(Q$52:Q$153,$CF$52:$CF$153=$C25,Q$52:Q$153&lt;&gt;""""))),"""")"),"-")</f>
        <v>-</v>
      </c>
      <c r="R25" s="247" t="str">
        <f ca="1">IFERROR(__xludf.DUMMYFUNCTION("ifna(JOIN(""; "", unique(FILTER(R$52:R$153,$CF$52:$CF$153=$C25,R$52:R$153&lt;&gt;""""))),"""")"),"-")</f>
        <v>-</v>
      </c>
      <c r="S25" s="247" t="str">
        <f ca="1">IFERROR(__xludf.DUMMYFUNCTION("ifna(JOIN(""; "", unique(FILTER(S$52:S$153,$CF$52:$CF$153=$C25,S$52:S$153&lt;&gt;""""))),"""")"),"-")</f>
        <v>-</v>
      </c>
      <c r="T25" s="30">
        <f>IFERROR((SUMIF($BV$52:$BV$151, $C25,U$52:U$151)/IF($H25&gt;0,$H25,SUM($F25:$G25))),"")</f>
        <v>0</v>
      </c>
      <c r="U25" s="31">
        <f>SUMIF($BV$52:$BV$151, $C25,U$52:U$151)</f>
        <v>0</v>
      </c>
      <c r="V25" s="28" t="str">
        <f ca="1">IFERROR(__xludf.DUMMYFUNCTION("ifna(JOIN(""; "", unique(FILTER(V$52:V$153,$CF$52:$CF$153=$C25,V$52:V$153&lt;&gt;""""))),"""")"),"")</f>
        <v/>
      </c>
      <c r="W25" s="28" t="str">
        <f ca="1">IFERROR(__xludf.DUMMYFUNCTION("ifna(JOIN(""; "", unique(FILTER(W$52:W$153,$CF$52:$CF$153=$C25,W$52:W$153&lt;&gt;""""))),"""")"),"")</f>
        <v/>
      </c>
      <c r="X25" s="219">
        <f>IFERROR((SUMIF($BV$52:$BV$151, $C25,Y$52:Y$151)/IF($H25&gt;0,$H25,SUM($F25:$G25))),"")</f>
        <v>0</v>
      </c>
      <c r="Y25" s="33">
        <f>SUMIF($BV$52:$BV$151, $C25,Y$52:Y$151)</f>
        <v>0</v>
      </c>
      <c r="Z25" s="1"/>
      <c r="AA25" s="154">
        <f>SUMIF($BV$52:$BV$151, $C25,AA$52:AA$151)</f>
        <v>1520</v>
      </c>
      <c r="AB25" s="1"/>
      <c r="AC25" s="214"/>
      <c r="AD25" s="214"/>
      <c r="AE25" s="154">
        <f>SUMIF($BV$52:$BV$151, $C25,AE$52:AE$151)</f>
        <v>1520</v>
      </c>
      <c r="AF25" s="154">
        <f>SUMIF($BV$52:$BV$151, $C25,AF$52:AF$151)</f>
        <v>0</v>
      </c>
      <c r="AG25" s="154">
        <f>SUMIF($BV$52:$BV$151, $C25,AG$52:AG$151)</f>
        <v>0</v>
      </c>
      <c r="AH25" s="154">
        <f>SUMIF($BV$52:$BV$151, $C25,AH$52:AH$151)</f>
        <v>0</v>
      </c>
      <c r="AI25" s="154">
        <f>SUMIF($BV$52:$BV$151, $C25,AI$52:AI$151)</f>
        <v>0</v>
      </c>
      <c r="AJ25" s="154">
        <f>SUMIF($BV$52:$BV$151, $C25,AJ$52:AJ$151)</f>
        <v>0</v>
      </c>
      <c r="AK25" s="154">
        <f>SUMIF($BV$52:$BV$151, $C25,AK$52:AK$151)</f>
        <v>0</v>
      </c>
      <c r="AL25" s="154">
        <f>SUMIF($BV$52:$BV$151, $C25,AL$52:AL$151)</f>
        <v>0</v>
      </c>
      <c r="AM25" s="154">
        <f>SUMIF($BV$52:$BV$151, $C25,AM$52:AM$151)</f>
        <v>0</v>
      </c>
      <c r="AN25" s="154">
        <f>SUMIF($BV$52:$BV$151, $C25,AN$52:AN$151)</f>
        <v>0</v>
      </c>
      <c r="AO25" s="154">
        <f>SUMIF($BV$52:$BV$151, $C25,AO$52:AO$151)</f>
        <v>0</v>
      </c>
      <c r="AP25" s="154">
        <f>SUMIF($BV$52:$BV$151, $C25,AP$52:AP$151)</f>
        <v>0</v>
      </c>
      <c r="AQ25" s="154">
        <f>SUMIF($BV$52:$BV$151, $C25,AQ$52:AQ$151)</f>
        <v>0</v>
      </c>
      <c r="AR25" s="154">
        <f>SUMIF($BV$52:$BV$151, $C25,AR$52:AR$151)</f>
        <v>0</v>
      </c>
      <c r="AS25" s="154">
        <f>SUMIF($BV$52:$BV$151, $C25,AS$52:AS$151)</f>
        <v>0</v>
      </c>
      <c r="AT25" s="154">
        <f>SUMIF($BV$52:$BV$151, $C25,AT$52:AT$151)</f>
        <v>0</v>
      </c>
      <c r="AU25" s="154">
        <f>SUMIF($BV$52:$BV$151, $C25,AU$52:AU$151)</f>
        <v>0</v>
      </c>
      <c r="AV25" s="154">
        <f>SUMIF($BV$52:$BV$151, $C25,AV$52:AV$151)</f>
        <v>0</v>
      </c>
      <c r="AW25" s="154">
        <f>SUMIF($BV$52:$BV$151, $C25,AW$52:AW$151)</f>
        <v>0</v>
      </c>
      <c r="AX25" s="154">
        <f>SUMIF($BV$52:$BV$151, $C25,AX$52:AX$151)</f>
        <v>0</v>
      </c>
      <c r="AY25" s="154">
        <f>SUMIF($BV$52:$BV$151, $C25,AY$52:AY$151)</f>
        <v>0</v>
      </c>
      <c r="AZ25" s="154">
        <f>SUMIF($BV$52:$BV$151, $C25,AZ$52:AZ$151)</f>
        <v>0</v>
      </c>
      <c r="BA25" s="154">
        <f>SUMIF($BV$52:$BV$151, $C25,BA$52:BA$151)</f>
        <v>0</v>
      </c>
      <c r="BB25" s="154">
        <f>SUMIF($BV$52:$BV$151, $C25,BB$52:BB$151)</f>
        <v>0</v>
      </c>
      <c r="BC25" s="154">
        <f>SUMIF($BV$52:$BV$151, $C25,BC$52:BC$151)</f>
        <v>0</v>
      </c>
      <c r="BD25" s="154">
        <f>SUMIF($BV$52:$BV$151, $C25,BD$52:BD$151)</f>
        <v>0</v>
      </c>
      <c r="BE25" s="154">
        <f>SUMIF($BV$52:$BV$151, $C25,BE$52:BE$151)</f>
        <v>0</v>
      </c>
      <c r="BF25" s="154">
        <f>SUMIF($BV$52:$BV$151, $C25,BF$52:BF$151)</f>
        <v>0</v>
      </c>
      <c r="BG25" s="154">
        <f>SUMIF($BV$52:$BV$151, $C25,BG$52:BG$151)</f>
        <v>0</v>
      </c>
      <c r="BH25" s="154">
        <f>SUMIF($BV$52:$BV$151, $C25,BH$52:BH$151)</f>
        <v>0</v>
      </c>
      <c r="BI25" s="154">
        <f>SUMIF($BV$52:$BV$151, $C25,BI$52:BI$151)</f>
        <v>0</v>
      </c>
      <c r="BJ25" s="154">
        <f>SUMIF($BV$52:$BV$151, $C25,BJ$52:BJ$151)</f>
        <v>0</v>
      </c>
      <c r="BK25" s="154">
        <f>SUMIF($BV$52:$BV$151, $C25,BK$52:BK$151)</f>
        <v>0</v>
      </c>
      <c r="BL25" s="154">
        <f>SUMIF($BV$52:$BV$151, $C25,BL$52:BL$151)</f>
        <v>0</v>
      </c>
      <c r="BM25" s="154">
        <f>SUMIF($BV$52:$BV$151, $C25,BM$52:BM$151)</f>
        <v>0</v>
      </c>
      <c r="BN25" s="154">
        <f>SUMIF($BV$52:$BV$151, $C25,BN$52:BN$151)</f>
        <v>0</v>
      </c>
      <c r="BO25" s="154">
        <f>SUMIF($BV$52:$BV$151, $C25,BO$52:BO$151)</f>
        <v>0</v>
      </c>
      <c r="BP25" s="154">
        <f>SUMIF($BV$52:$BV$151, $C25,BP$52:BP$151)</f>
        <v>0</v>
      </c>
      <c r="BQ25" s="154">
        <f>SUMIF($BV$52:$BV$151, $C25,BQ$52:BQ$151)</f>
        <v>0</v>
      </c>
      <c r="BR25" s="154">
        <f>SUMIF($BV$52:$BV$151, $C25,BR$52:BR$151)</f>
        <v>0</v>
      </c>
      <c r="BS25" s="154">
        <f>SUMIF($BV$52:$BV$151, $C25,BS$52:BS$151)</f>
        <v>0</v>
      </c>
      <c r="BT25" s="1"/>
      <c r="BU25" s="1"/>
      <c r="BV25" s="23"/>
      <c r="BW25" s="1"/>
      <c r="BX25" s="23"/>
      <c r="BY25" s="1"/>
    </row>
    <row r="26" spans="1:77" ht="32" x14ac:dyDescent="0.15">
      <c r="A26" s="14"/>
      <c r="B26" s="1067"/>
      <c r="C26" s="34" t="str">
        <f t="shared" ref="C26:C27" si="12">C80</f>
        <v>Solitary bee hotels</v>
      </c>
      <c r="D26" s="220"/>
      <c r="E26" s="28" t="str">
        <f ca="1">IFERROR(__xludf.DUMMYFUNCTION("ifna(JOIN(""; "", unique(FILTER(E$52:E$153,$CF$52:$CF$153=$C26,E$52:E$153&lt;&gt;""""))),"""")"),"")</f>
        <v/>
      </c>
      <c r="F26" s="24">
        <f>SUMIF($BV$52:$BV$151, $C26,F$52:F$151)</f>
        <v>0</v>
      </c>
      <c r="G26" s="24">
        <f>SUMIF($BV$52:$BV$151, $C26,G$52:G$151)</f>
        <v>0</v>
      </c>
      <c r="H26" s="27">
        <f>SUMIF($BV$52:$BV$151, $C26,H$52:H$151)</f>
        <v>20</v>
      </c>
      <c r="I26" s="247" t="str">
        <f ca="1">IFERROR(__xludf.DUMMYFUNCTION("ifna(JOIN(""; "", unique(FILTER(I$52:I$153,$CF$52:$CF$153=$C26,I$52:I$153&lt;&gt;""""))),"""")"),"-")</f>
        <v>-</v>
      </c>
      <c r="J26" s="248" t="str">
        <f ca="1">IFERROR(__xludf.DUMMYFUNCTION("ifna(JOIN(""; "", unique(FILTER(J$52:J$153,$CF$52:$CF$153=$C26,J$52:J$153&lt;&gt;""""))),"""")"),"-")</f>
        <v>-</v>
      </c>
      <c r="K26" s="30">
        <f>IFERROR((SUMIF($BV$52:$BV$151, $C26,L$52:L$151)/IF($H26&gt;0,$H26,SUM($F26:$G26))),"")</f>
        <v>50</v>
      </c>
      <c r="L26" s="31">
        <f>SUMIF($BV$52:$BV$151, $C26,L$52:L$151)</f>
        <v>1000</v>
      </c>
      <c r="M26" s="247" t="str">
        <f ca="1">IFERROR(__xludf.DUMMYFUNCTION("ifna(JOIN(""; "", unique(FILTER(M$52:M$153,$CF$52:$CF$153=$C26,M$52:M$153&lt;&gt;""""))),"""")"),"-")</f>
        <v>-</v>
      </c>
      <c r="N26" s="30">
        <f>IFERROR((SUMIF($BV$52:$BV$151, $C26,O$52:O$151)/IF($H26&gt;0,$H26,SUM($F26:$G26))),"")</f>
        <v>40</v>
      </c>
      <c r="O26" s="31">
        <f>SUMIF($BV$52:$BV$151, $C26,O$52:O$151)</f>
        <v>800</v>
      </c>
      <c r="P26" s="31">
        <f t="shared" si="4"/>
        <v>1800</v>
      </c>
      <c r="Q26" s="218" t="str">
        <f ca="1">IFERROR(__xludf.DUMMYFUNCTION("ifna(JOIN(""; "", unique(FILTER(Q$52:Q$153,$CF$52:$CF$153=$C26,Q$52:Q$153&lt;&gt;""""))),"""")"),"-")</f>
        <v>-</v>
      </c>
      <c r="R26" s="247" t="str">
        <f ca="1">IFERROR(__xludf.DUMMYFUNCTION("ifna(JOIN(""; "", unique(FILTER(R$52:R$153,$CF$52:$CF$153=$C26,R$52:R$153&lt;&gt;""""))),"""")"),"-")</f>
        <v>-</v>
      </c>
      <c r="S26" s="247" t="str">
        <f ca="1">IFERROR(__xludf.DUMMYFUNCTION("ifna(JOIN(""; "", unique(FILTER(S$52:S$153,$CF$52:$CF$153=$C26,S$52:S$153&lt;&gt;""""))),"""")"),"-")</f>
        <v>-</v>
      </c>
      <c r="T26" s="30">
        <f>IFERROR((SUMIF($BV$52:$BV$151, $C26,U$52:U$151)/IF($H26&gt;0,$H26,SUM($F26:$G26))),"")</f>
        <v>0</v>
      </c>
      <c r="U26" s="31">
        <f>SUMIF($BV$52:$BV$151, $C26,U$52:U$151)</f>
        <v>0</v>
      </c>
      <c r="V26" s="28" t="str">
        <f ca="1">IFERROR(__xludf.DUMMYFUNCTION("ifna(JOIN(""; "", unique(FILTER(V$52:V$153,$CF$52:$CF$153=$C26,V$52:V$153&lt;&gt;""""))),"""")"),"Replacement of nesting and roosting structures after five years")</f>
        <v>Replacement of nesting and roosting structures after five years</v>
      </c>
      <c r="W26" s="28" t="str">
        <f ca="1">IFERROR(__xludf.DUMMYFUNCTION("ifna(JOIN(""; "", unique(FILTER(W$52:W$153,$CF$52:$CF$153=$C26,W$52:W$153&lt;&gt;""""))),"""")"),"0.2")</f>
        <v>0.2</v>
      </c>
      <c r="X26" s="219">
        <f>IFERROR((SUMIF($BV$52:$BV$151, $C26,Y$52:Y$151)/IF($H26&gt;0,$H26,SUM($F26:$G26))),"")</f>
        <v>18</v>
      </c>
      <c r="Y26" s="33">
        <f>SUMIF($BV$52:$BV$151, $C26,Y$52:Y$151)</f>
        <v>360</v>
      </c>
      <c r="Z26" s="1"/>
      <c r="AA26" s="154">
        <f>SUMIF($BV$52:$BV$151, $C26,AA$52:AA$151)</f>
        <v>7537.9823461548995</v>
      </c>
      <c r="AB26" s="1"/>
      <c r="AC26" s="214"/>
      <c r="AD26" s="214"/>
      <c r="AE26" s="154">
        <f>SUMIF($BV$52:$BV$151, $C26,AE$52:AE$151)</f>
        <v>1800</v>
      </c>
      <c r="AF26" s="154">
        <f>SUMIF($BV$52:$BV$151, $C26,AF$52:AF$151)</f>
        <v>0</v>
      </c>
      <c r="AG26" s="154">
        <f>SUMIF($BV$52:$BV$151, $C26,AG$52:AG$151)</f>
        <v>0</v>
      </c>
      <c r="AH26" s="154">
        <f>SUMIF($BV$52:$BV$151, $C26,AH$52:AH$151)</f>
        <v>0</v>
      </c>
      <c r="AI26" s="154">
        <f>SUMIF($BV$52:$BV$151, $C26,AI$52:AI$151)</f>
        <v>397.37264062499992</v>
      </c>
      <c r="AJ26" s="154">
        <f>SUMIF($BV$52:$BV$151, $C26,AJ$52:AJ$151)</f>
        <v>407.30695664062489</v>
      </c>
      <c r="AK26" s="154">
        <f>SUMIF($BV$52:$BV$151, $C26,AK$52:AK$151)</f>
        <v>417.48963055664046</v>
      </c>
      <c r="AL26" s="154">
        <f>SUMIF($BV$52:$BV$151, $C26,AL$52:AL$151)</f>
        <v>427.92687132055647</v>
      </c>
      <c r="AM26" s="154">
        <f>SUMIF($BV$52:$BV$151, $C26,AM$52:AM$151)</f>
        <v>438.62504310357036</v>
      </c>
      <c r="AN26" s="154">
        <f>SUMIF($BV$52:$BV$151, $C26,AN$52:AN$151)</f>
        <v>449.59066918115957</v>
      </c>
      <c r="AO26" s="154">
        <f>SUMIF($BV$52:$BV$151, $C26,AO$52:AO$151)</f>
        <v>460.83043591068855</v>
      </c>
      <c r="AP26" s="154">
        <f>SUMIF($BV$52:$BV$151, $C26,AP$52:AP$151)</f>
        <v>472.35119680845577</v>
      </c>
      <c r="AQ26" s="154">
        <f>SUMIF($BV$52:$BV$151, $C26,AQ$52:AQ$151)</f>
        <v>484.15997672866712</v>
      </c>
      <c r="AR26" s="154">
        <f>SUMIF($BV$52:$BV$151, $C26,AR$52:AR$151)</f>
        <v>496.26397614688375</v>
      </c>
      <c r="AS26" s="154">
        <f>SUMIF($BV$52:$BV$151, $C26,AS$52:AS$151)</f>
        <v>508.67057555055578</v>
      </c>
      <c r="AT26" s="154">
        <f>SUMIF($BV$52:$BV$151, $C26,AT$52:AT$151)</f>
        <v>521.38733993931976</v>
      </c>
      <c r="AU26" s="154">
        <f>SUMIF($BV$52:$BV$151, $C26,AU$52:AU$151)</f>
        <v>534.42202343780275</v>
      </c>
      <c r="AV26" s="154">
        <f>SUMIF($BV$52:$BV$151, $C26,AV$52:AV$151)</f>
        <v>547.78257402374777</v>
      </c>
      <c r="AW26" s="154">
        <f>SUMIF($BV$52:$BV$151, $C26,AW$52:AW$151)</f>
        <v>561.47713837434139</v>
      </c>
      <c r="AX26" s="154">
        <f>SUMIF($BV$52:$BV$151, $C26,AX$52:AX$151)</f>
        <v>575.51406683369999</v>
      </c>
      <c r="AY26" s="154">
        <f>SUMIF($BV$52:$BV$151, $C26,AY$52:AY$151)</f>
        <v>589.90191850454244</v>
      </c>
      <c r="AZ26" s="154">
        <f>SUMIF($BV$52:$BV$151, $C26,AZ$52:AZ$151)</f>
        <v>604.64946646715589</v>
      </c>
      <c r="BA26" s="154">
        <f>SUMIF($BV$52:$BV$151, $C26,BA$52:BA$151)</f>
        <v>619.76570312883473</v>
      </c>
      <c r="BB26" s="154">
        <f>SUMIF($BV$52:$BV$151, $C26,BB$52:BB$151)</f>
        <v>635.25984570705566</v>
      </c>
      <c r="BC26" s="154">
        <f>SUMIF($BV$52:$BV$151, $C26,BC$52:BC$151)</f>
        <v>651.14134184973204</v>
      </c>
      <c r="BD26" s="154">
        <f>SUMIF($BV$52:$BV$151, $C26,BD$52:BD$151)</f>
        <v>667.41987539597517</v>
      </c>
      <c r="BE26" s="154">
        <f>SUMIF($BV$52:$BV$151, $C26,BE$52:BE$151)</f>
        <v>684.10537228087458</v>
      </c>
      <c r="BF26" s="154">
        <f>SUMIF($BV$52:$BV$151, $C26,BF$52:BF$151)</f>
        <v>701.20800658789642</v>
      </c>
      <c r="BG26" s="154">
        <f>SUMIF($BV$52:$BV$151, $C26,BG$52:BG$151)</f>
        <v>718.73820675259378</v>
      </c>
      <c r="BH26" s="154">
        <f>SUMIF($BV$52:$BV$151, $C26,BH$52:BH$151)</f>
        <v>736.70666192140868</v>
      </c>
      <c r="BI26" s="154">
        <f>SUMIF($BV$52:$BV$151, $C26,BI$52:BI$151)</f>
        <v>755.12432846944364</v>
      </c>
      <c r="BJ26" s="154">
        <f>SUMIF($BV$52:$BV$151, $C26,BJ$52:BJ$151)</f>
        <v>774.00243668118003</v>
      </c>
      <c r="BK26" s="154">
        <f>SUMIF($BV$52:$BV$151, $C26,BK$52:BK$151)</f>
        <v>793.35249759820931</v>
      </c>
      <c r="BL26" s="154">
        <f>SUMIF($BV$52:$BV$151, $C26,BL$52:BL$151)</f>
        <v>813.18631003816449</v>
      </c>
      <c r="BM26" s="154">
        <f>SUMIF($BV$52:$BV$151, $C26,BM$52:BM$151)</f>
        <v>833.51596778911858</v>
      </c>
      <c r="BN26" s="154">
        <f>SUMIF($BV$52:$BV$151, $C26,BN$52:BN$151)</f>
        <v>854.3538669838465</v>
      </c>
      <c r="BO26" s="154">
        <f>SUMIF($BV$52:$BV$151, $C26,BO$52:BO$151)</f>
        <v>875.71271365844268</v>
      </c>
      <c r="BP26" s="154">
        <f>SUMIF($BV$52:$BV$151, $C26,BP$52:BP$151)</f>
        <v>897.60553149990369</v>
      </c>
      <c r="BQ26" s="154">
        <f>SUMIF($BV$52:$BV$151, $C26,BQ$52:BQ$151)</f>
        <v>920.04566978740104</v>
      </c>
      <c r="BR26" s="154">
        <f>SUMIF($BV$52:$BV$151, $C26,BR$52:BR$151)</f>
        <v>943.04681153208617</v>
      </c>
      <c r="BS26" s="154">
        <f>SUMIF($BV$52:$BV$151, $C26,BS$52:BS$151)</f>
        <v>966.62298182038819</v>
      </c>
      <c r="BT26" s="1"/>
      <c r="BU26" s="1"/>
      <c r="BV26" s="23"/>
      <c r="BW26" s="1"/>
      <c r="BX26" s="23"/>
      <c r="BY26" s="1"/>
    </row>
    <row r="27" spans="1:77" ht="32" x14ac:dyDescent="0.15">
      <c r="A27" s="14"/>
      <c r="B27" s="1068"/>
      <c r="C27" s="51" t="str">
        <f t="shared" si="12"/>
        <v>Beetle bank</v>
      </c>
      <c r="D27" s="222"/>
      <c r="E27" s="36" t="str">
        <f ca="1">IFERROR(__xludf.DUMMYFUNCTION("ifna(JOIN(""; "", unique(FILTER(E$52:E$153,$CF$52:$CF$153=$C27,E$52:E$153&lt;&gt;""""))),"""")"),"Next to enlarged ponds along southern boundary")</f>
        <v>Next to enlarged ponds along southern boundary</v>
      </c>
      <c r="F27" s="37">
        <f>SUMIF($BV$52:$BV$151, $C27,F$52:F$151)</f>
        <v>0</v>
      </c>
      <c r="G27" s="37">
        <f>SUMIF($BV$52:$BV$151, $C27,G$52:G$151)</f>
        <v>0</v>
      </c>
      <c r="H27" s="38">
        <f>SUMIF($BV$52:$BV$151, $C27,H$52:H$151)</f>
        <v>2</v>
      </c>
      <c r="I27" s="249" t="str">
        <f ca="1">IFERROR(__xludf.DUMMYFUNCTION("ifna(JOIN(""; "", unique(FILTER(I$52:I$153,$CF$52:$CF$153=$C27,I$52:I$153&lt;&gt;""""))),"""")"),"-")</f>
        <v>-</v>
      </c>
      <c r="J27" s="250" t="str">
        <f ca="1">IFERROR(__xludf.DUMMYFUNCTION("ifna(JOIN(""; "", unique(FILTER(J$52:J$153,$CF$52:$CF$153=$C27,J$52:J$153&lt;&gt;""""))),"""")"),"-")</f>
        <v>-</v>
      </c>
      <c r="K27" s="40">
        <f>IFERROR((SUMIF($BV$52:$BV$151, $C27,L$52:L$151)/IF($H27&gt;0,$H27,SUM($F27:$G27))),"")</f>
        <v>0</v>
      </c>
      <c r="L27" s="41">
        <f>SUMIF($BV$52:$BV$151, $C27,L$52:L$151)</f>
        <v>0</v>
      </c>
      <c r="M27" s="249" t="str">
        <f ca="1">IFERROR(__xludf.DUMMYFUNCTION("ifna(JOIN(""; "", unique(FILTER(M$52:M$153,$CF$52:$CF$153=$C27,M$52:M$153&lt;&gt;""""))),"""")"),"-")</f>
        <v>-</v>
      </c>
      <c r="N27" s="40">
        <f>IFERROR((SUMIF($BV$52:$BV$151, $C27,O$52:O$151)/IF($H27&gt;0,$H27,SUM($F27:$G27))),"")</f>
        <v>500</v>
      </c>
      <c r="O27" s="41">
        <f>SUMIF($BV$52:$BV$151, $C27,O$52:O$151)</f>
        <v>1000</v>
      </c>
      <c r="P27" s="41">
        <f t="shared" si="4"/>
        <v>1000</v>
      </c>
      <c r="Q27" s="241" t="str">
        <f ca="1">IFERROR(__xludf.DUMMYFUNCTION("ifna(JOIN(""; "", unique(FILTER(Q$52:Q$153,$CF$52:$CF$153=$C27,Q$52:Q$153&lt;&gt;""""))),"""")"),"-")</f>
        <v>-</v>
      </c>
      <c r="R27" s="249" t="str">
        <f ca="1">IFERROR(__xludf.DUMMYFUNCTION("ifna(JOIN(""; "", unique(FILTER(R$52:R$153,$CF$52:$CF$153=$C27,R$52:R$153&lt;&gt;""""))),"""")"),"-")</f>
        <v>-</v>
      </c>
      <c r="S27" s="249" t="str">
        <f ca="1">IFERROR(__xludf.DUMMYFUNCTION("ifna(JOIN(""; "", unique(FILTER(S$52:S$153,$CF$52:$CF$153=$C27,S$52:S$153&lt;&gt;""""))),"""")"),"-")</f>
        <v>-</v>
      </c>
      <c r="T27" s="40">
        <f>IFERROR((SUMIF($BV$52:$BV$151, $C27,U$52:U$151)/IF($H27&gt;0,$H27,SUM($F27:$G27))),"")</f>
        <v>0</v>
      </c>
      <c r="U27" s="41">
        <f>SUMIF($BV$52:$BV$151, $C27,U$52:U$151)</f>
        <v>0</v>
      </c>
      <c r="V27" s="249" t="str">
        <f ca="1">IFERROR(__xludf.DUMMYFUNCTION("ifna(JOIN(""; "", unique(FILTER(V$52:V$153,$CF$52:$CF$153=$C27,V$52:V$153&lt;&gt;""""))),"""")"),"-")</f>
        <v>-</v>
      </c>
      <c r="W27" s="249" t="str">
        <f ca="1">IFERROR(__xludf.DUMMYFUNCTION("ifna(JOIN(""; "", unique(FILTER(W$52:W$153,$CF$52:$CF$153=$C27,W$52:W$153&lt;&gt;""""))),"""")"),"-")</f>
        <v>-</v>
      </c>
      <c r="X27" s="224">
        <f>IFERROR((SUMIF($BV$52:$BV$151, $C27,Y$52:Y$151)/IF($H27&gt;0,$H27,SUM($F27:$G27))),"")</f>
        <v>0</v>
      </c>
      <c r="Y27" s="43">
        <f>SUMIF($BV$52:$BV$151, $C27,Y$52:Y$151)</f>
        <v>0</v>
      </c>
      <c r="Z27" s="1"/>
      <c r="AA27" s="154">
        <f>SUMIF($BV$52:$BV$151, $C27,AA$52:AA$151)</f>
        <v>1000</v>
      </c>
      <c r="AB27" s="1"/>
      <c r="AC27" s="214"/>
      <c r="AD27" s="214"/>
      <c r="AE27" s="154">
        <f>SUMIF($BV$52:$BV$151, $C27,AE$52:AE$151)</f>
        <v>1000</v>
      </c>
      <c r="AF27" s="154">
        <f>SUMIF($BV$52:$BV$151, $C27,AF$52:AF$151)</f>
        <v>0</v>
      </c>
      <c r="AG27" s="154">
        <f>SUMIF($BV$52:$BV$151, $C27,AG$52:AG$151)</f>
        <v>0</v>
      </c>
      <c r="AH27" s="154">
        <f>SUMIF($BV$52:$BV$151, $C27,AH$52:AH$151)</f>
        <v>0</v>
      </c>
      <c r="AI27" s="154">
        <f>SUMIF($BV$52:$BV$151, $C27,AI$52:AI$151)</f>
        <v>0</v>
      </c>
      <c r="AJ27" s="154">
        <f>SUMIF($BV$52:$BV$151, $C27,AJ$52:AJ$151)</f>
        <v>0</v>
      </c>
      <c r="AK27" s="154">
        <f>SUMIF($BV$52:$BV$151, $C27,AK$52:AK$151)</f>
        <v>0</v>
      </c>
      <c r="AL27" s="154">
        <f>SUMIF($BV$52:$BV$151, $C27,AL$52:AL$151)</f>
        <v>0</v>
      </c>
      <c r="AM27" s="154">
        <f>SUMIF($BV$52:$BV$151, $C27,AM$52:AM$151)</f>
        <v>0</v>
      </c>
      <c r="AN27" s="154">
        <f>SUMIF($BV$52:$BV$151, $C27,AN$52:AN$151)</f>
        <v>0</v>
      </c>
      <c r="AO27" s="154">
        <f>SUMIF($BV$52:$BV$151, $C27,AO$52:AO$151)</f>
        <v>0</v>
      </c>
      <c r="AP27" s="154">
        <f>SUMIF($BV$52:$BV$151, $C27,AP$52:AP$151)</f>
        <v>0</v>
      </c>
      <c r="AQ27" s="154">
        <f>SUMIF($BV$52:$BV$151, $C27,AQ$52:AQ$151)</f>
        <v>0</v>
      </c>
      <c r="AR27" s="154">
        <f>SUMIF($BV$52:$BV$151, $C27,AR$52:AR$151)</f>
        <v>0</v>
      </c>
      <c r="AS27" s="154">
        <f>SUMIF($BV$52:$BV$151, $C27,AS$52:AS$151)</f>
        <v>0</v>
      </c>
      <c r="AT27" s="154">
        <f>SUMIF($BV$52:$BV$151, $C27,AT$52:AT$151)</f>
        <v>0</v>
      </c>
      <c r="AU27" s="154">
        <f>SUMIF($BV$52:$BV$151, $C27,AU$52:AU$151)</f>
        <v>0</v>
      </c>
      <c r="AV27" s="154">
        <f>SUMIF($BV$52:$BV$151, $C27,AV$52:AV$151)</f>
        <v>0</v>
      </c>
      <c r="AW27" s="154">
        <f>SUMIF($BV$52:$BV$151, $C27,AW$52:AW$151)</f>
        <v>0</v>
      </c>
      <c r="AX27" s="154">
        <f>SUMIF($BV$52:$BV$151, $C27,AX$52:AX$151)</f>
        <v>0</v>
      </c>
      <c r="AY27" s="154">
        <f>SUMIF($BV$52:$BV$151, $C27,AY$52:AY$151)</f>
        <v>0</v>
      </c>
      <c r="AZ27" s="154">
        <f>SUMIF($BV$52:$BV$151, $C27,AZ$52:AZ$151)</f>
        <v>0</v>
      </c>
      <c r="BA27" s="154">
        <f>SUMIF($BV$52:$BV$151, $C27,BA$52:BA$151)</f>
        <v>0</v>
      </c>
      <c r="BB27" s="154">
        <f>SUMIF($BV$52:$BV$151, $C27,BB$52:BB$151)</f>
        <v>0</v>
      </c>
      <c r="BC27" s="154">
        <f>SUMIF($BV$52:$BV$151, $C27,BC$52:BC$151)</f>
        <v>0</v>
      </c>
      <c r="BD27" s="154">
        <f>SUMIF($BV$52:$BV$151, $C27,BD$52:BD$151)</f>
        <v>0</v>
      </c>
      <c r="BE27" s="154">
        <f>SUMIF($BV$52:$BV$151, $C27,BE$52:BE$151)</f>
        <v>0</v>
      </c>
      <c r="BF27" s="154">
        <f>SUMIF($BV$52:$BV$151, $C27,BF$52:BF$151)</f>
        <v>0</v>
      </c>
      <c r="BG27" s="154">
        <f>SUMIF($BV$52:$BV$151, $C27,BG$52:BG$151)</f>
        <v>0</v>
      </c>
      <c r="BH27" s="154">
        <f>SUMIF($BV$52:$BV$151, $C27,BH$52:BH$151)</f>
        <v>0</v>
      </c>
      <c r="BI27" s="154">
        <f>SUMIF($BV$52:$BV$151, $C27,BI$52:BI$151)</f>
        <v>0</v>
      </c>
      <c r="BJ27" s="154">
        <f>SUMIF($BV$52:$BV$151, $C27,BJ$52:BJ$151)</f>
        <v>0</v>
      </c>
      <c r="BK27" s="154">
        <f>SUMIF($BV$52:$BV$151, $C27,BK$52:BK$151)</f>
        <v>0</v>
      </c>
      <c r="BL27" s="154">
        <f>SUMIF($BV$52:$BV$151, $C27,BL$52:BL$151)</f>
        <v>0</v>
      </c>
      <c r="BM27" s="154">
        <f>SUMIF($BV$52:$BV$151, $C27,BM$52:BM$151)</f>
        <v>0</v>
      </c>
      <c r="BN27" s="154">
        <f>SUMIF($BV$52:$BV$151, $C27,BN$52:BN$151)</f>
        <v>0</v>
      </c>
      <c r="BO27" s="154">
        <f>SUMIF($BV$52:$BV$151, $C27,BO$52:BO$151)</f>
        <v>0</v>
      </c>
      <c r="BP27" s="154">
        <f>SUMIF($BV$52:$BV$151, $C27,BP$52:BP$151)</f>
        <v>0</v>
      </c>
      <c r="BQ27" s="154">
        <f>SUMIF($BV$52:$BV$151, $C27,BQ$52:BQ$151)</f>
        <v>0</v>
      </c>
      <c r="BR27" s="154">
        <f>SUMIF($BV$52:$BV$151, $C27,BR$52:BR$151)</f>
        <v>0</v>
      </c>
      <c r="BS27" s="154">
        <f>SUMIF($BV$52:$BV$151, $C27,BS$52:BS$151)</f>
        <v>0</v>
      </c>
      <c r="BT27" s="1"/>
      <c r="BU27" s="1"/>
      <c r="BV27" s="23"/>
      <c r="BW27" s="1"/>
      <c r="BX27" s="23"/>
      <c r="BY27" s="1"/>
    </row>
    <row r="28" spans="1:77" ht="32" x14ac:dyDescent="0.15">
      <c r="A28" s="14"/>
      <c r="B28" s="251" t="str">
        <f t="shared" ref="B28:C28" si="13">B82</f>
        <v>One off / uncategorised</v>
      </c>
      <c r="C28" s="252" t="str">
        <f t="shared" si="13"/>
        <v>Screening hurdles</v>
      </c>
      <c r="D28" s="253"/>
      <c r="E28" s="254" t="str">
        <f ca="1">IFERROR(__xludf.DUMMYFUNCTION("ifna(JOIN(""; "", unique(FILTER(E$52:E$153,$CF$52:$CF$153=$C28,E$52:E$153&lt;&gt;""""))),""-"")"),"Westerncorner and along southern boundary")</f>
        <v>Westerncorner and along southern boundary</v>
      </c>
      <c r="F28" s="255">
        <f>SUMIF($BV$52:$BV$151, $C28,F$52:F$151)</f>
        <v>0</v>
      </c>
      <c r="G28" s="256">
        <f>SUMIF($BV$52:$BV$151, $C28,G$52:G$151)</f>
        <v>0.58224600000000004</v>
      </c>
      <c r="H28" s="257">
        <f>SUMIF($BV$52:$BV$151, $C28,H$52:H$151)</f>
        <v>324</v>
      </c>
      <c r="I28" s="254" t="str">
        <f ca="1">IFERROR(__xludf.DUMMYFUNCTION("ifna(JOIN(""; "", unique(FILTER(I$52:I$153,$CF$52:$CF$153=$C28,I$52:I$153&lt;&gt;""""))),"""")"),"Screening crop")</f>
        <v>Screening crop</v>
      </c>
      <c r="J28" s="258" t="str">
        <f ca="1">IFERROR(__xludf.DUMMYFUNCTION("ifna(JOIN(""; "", unique(FILTER(J$52:J$153,$CF$52:$CF$153=$C28,J$52:J$153&lt;&gt;""""))),"""")"),"-")</f>
        <v>-</v>
      </c>
      <c r="K28" s="135">
        <f>IFERROR((SUMIF($BV$52:$BV$151, $C28,L$52:L$151)/IF($H28&gt;0,$H28,SUM($F28:$G28))),"")</f>
        <v>90</v>
      </c>
      <c r="L28" s="259">
        <f>SUMIF($BV$52:$BV$151, $C28,L$52:L$151)</f>
        <v>29160</v>
      </c>
      <c r="M28" s="223" t="str">
        <f ca="1">IFERROR(__xludf.DUMMYFUNCTION("ifna(JOIN(""; "", unique(FILTER(M$52:M$153,$CF$52:$CF$153=$C28,M$52:M$153&lt;&gt;""""))),"""")"),"-")</f>
        <v>-</v>
      </c>
      <c r="N28" s="135">
        <f>IFERROR((SUMIF($BV$52:$BV$151, $C28,O$52:O$151)/IF($H28&gt;0,$H28,SUM($F28:$G28))),"")</f>
        <v>0</v>
      </c>
      <c r="O28" s="259">
        <f>SUMIF($BV$52:$BV$151, $C28,O$52:O$151)</f>
        <v>0</v>
      </c>
      <c r="P28" s="259">
        <f t="shared" si="4"/>
        <v>29160</v>
      </c>
      <c r="Q28" s="236" t="str">
        <f ca="1">IFERROR(__xludf.DUMMYFUNCTION("ifna(JOIN(""; "", unique(FILTER(Q$52:Q$153,$CF$52:$CF$153=$C28,Q$52:Q$153&lt;&gt;""""))),"""")"),"-")</f>
        <v>-</v>
      </c>
      <c r="R28" s="223" t="str">
        <f ca="1">IFERROR(__xludf.DUMMYFUNCTION("ifna(JOIN(""; "", unique(FILTER(R$52:R$153,$CF$52:$CF$153=$C28,R$52:R$153&lt;&gt;""""))),"""")"),"-")</f>
        <v>-</v>
      </c>
      <c r="S28" s="223" t="str">
        <f ca="1">IFERROR(__xludf.DUMMYFUNCTION("ifna(JOIN(""; "", unique(FILTER(S$52:S$153,$CF$52:$CF$153=$C28,S$52:S$153&lt;&gt;""""))),"""")"),"-")</f>
        <v>-</v>
      </c>
      <c r="T28" s="135">
        <f>IFERROR((SUMIF($BV$52:$BV$151, $C28,U$52:U$151)/IF($H28&gt;0,$H28,SUM($F28:$G28))),"")</f>
        <v>0</v>
      </c>
      <c r="U28" s="259">
        <f>SUMIF($BV$52:$BV$151, $C28,U$52:U$151)</f>
        <v>0</v>
      </c>
      <c r="V28" s="254" t="str">
        <f ca="1">IFERROR(__xludf.DUMMYFUNCTION("ifna(JOIN(""; "", unique(FILTER(V$52:V$153,$CF$52:$CF$153=$C28,V$52:V$153&lt;&gt;""""))),"""")"),"Removal")</f>
        <v>Removal</v>
      </c>
      <c r="W28" s="254" t="str">
        <f ca="1">IFERROR(__xludf.DUMMYFUNCTION("ifna(JOIN(""; "", unique(FILTER(W$52:W$153,$CF$52:$CF$153=$C28,W$52:W$153&lt;&gt;""""))),"""")"),"-")</f>
        <v>-</v>
      </c>
      <c r="X28" s="260">
        <f>IFERROR((SUMIF($BV$52:$BV$151, $C28,Y$52:Y$151)/IF($H28&gt;0,$H28,SUM($F28:$G28))),"")</f>
        <v>0</v>
      </c>
      <c r="Y28" s="261">
        <f>SUMIF($BV$52:$BV$151, $C28,Y$52:Y$151)</f>
        <v>0</v>
      </c>
      <c r="Z28" s="1"/>
      <c r="AA28" s="154">
        <f>SUMIF($BV$52:$BV$151, $C28,AA$52:AA$151)</f>
        <v>29160</v>
      </c>
      <c r="AB28" s="1"/>
      <c r="AC28" s="214"/>
      <c r="AD28" s="214"/>
      <c r="AE28" s="154">
        <f>SUMIF($BV$52:$BV$151, $C28,AE$52:AE$151)</f>
        <v>29160</v>
      </c>
      <c r="AF28" s="154">
        <f>SUMIF($BV$52:$BV$151, $C28,AF$52:AF$151)</f>
        <v>0</v>
      </c>
      <c r="AG28" s="154">
        <f>SUMIF($BV$52:$BV$151, $C28,AG$52:AG$151)</f>
        <v>0</v>
      </c>
      <c r="AH28" s="154">
        <f>SUMIF($BV$52:$BV$151, $C28,AH$52:AH$151)</f>
        <v>0</v>
      </c>
      <c r="AI28" s="154">
        <f>SUMIF($BV$52:$BV$151, $C28,AI$52:AI$151)</f>
        <v>0</v>
      </c>
      <c r="AJ28" s="154">
        <f>SUMIF($BV$52:$BV$151, $C28,AJ$52:AJ$151)</f>
        <v>0</v>
      </c>
      <c r="AK28" s="154">
        <f>SUMIF($BV$52:$BV$151, $C28,AK$52:AK$151)</f>
        <v>0</v>
      </c>
      <c r="AL28" s="154">
        <f>SUMIF($BV$52:$BV$151, $C28,AL$52:AL$151)</f>
        <v>0</v>
      </c>
      <c r="AM28" s="154">
        <f>SUMIF($BV$52:$BV$151, $C28,AM$52:AM$151)</f>
        <v>0</v>
      </c>
      <c r="AN28" s="154">
        <f>SUMIF($BV$52:$BV$151, $C28,AN$52:AN$151)</f>
        <v>0</v>
      </c>
      <c r="AO28" s="154">
        <f>SUMIF($BV$52:$BV$151, $C28,AO$52:AO$151)</f>
        <v>0</v>
      </c>
      <c r="AP28" s="154">
        <f>SUMIF($BV$52:$BV$151, $C28,AP$52:AP$151)</f>
        <v>0</v>
      </c>
      <c r="AQ28" s="154">
        <f>SUMIF($BV$52:$BV$151, $C28,AQ$52:AQ$151)</f>
        <v>0</v>
      </c>
      <c r="AR28" s="154">
        <f>SUMIF($BV$52:$BV$151, $C28,AR$52:AR$151)</f>
        <v>0</v>
      </c>
      <c r="AS28" s="154">
        <f>SUMIF($BV$52:$BV$151, $C28,AS$52:AS$151)</f>
        <v>0</v>
      </c>
      <c r="AT28" s="154">
        <f>SUMIF($BV$52:$BV$151, $C28,AT$52:AT$151)</f>
        <v>0</v>
      </c>
      <c r="AU28" s="154">
        <f>SUMIF($BV$52:$BV$151, $C28,AU$52:AU$151)</f>
        <v>0</v>
      </c>
      <c r="AV28" s="154">
        <f>SUMIF($BV$52:$BV$151, $C28,AV$52:AV$151)</f>
        <v>0</v>
      </c>
      <c r="AW28" s="154">
        <f>SUMIF($BV$52:$BV$151, $C28,AW$52:AW$151)</f>
        <v>0</v>
      </c>
      <c r="AX28" s="154">
        <f>SUMIF($BV$52:$BV$151, $C28,AX$52:AX$151)</f>
        <v>0</v>
      </c>
      <c r="AY28" s="154">
        <f>SUMIF($BV$52:$BV$151, $C28,AY$52:AY$151)</f>
        <v>0</v>
      </c>
      <c r="AZ28" s="154">
        <f>SUMIF($BV$52:$BV$151, $C28,AZ$52:AZ$151)</f>
        <v>0</v>
      </c>
      <c r="BA28" s="154">
        <f>SUMIF($BV$52:$BV$151, $C28,BA$52:BA$151)</f>
        <v>0</v>
      </c>
      <c r="BB28" s="154">
        <f>SUMIF($BV$52:$BV$151, $C28,BB$52:BB$151)</f>
        <v>0</v>
      </c>
      <c r="BC28" s="154">
        <f>SUMIF($BV$52:$BV$151, $C28,BC$52:BC$151)</f>
        <v>0</v>
      </c>
      <c r="BD28" s="154">
        <f>SUMIF($BV$52:$BV$151, $C28,BD$52:BD$151)</f>
        <v>0</v>
      </c>
      <c r="BE28" s="154">
        <f>SUMIF($BV$52:$BV$151, $C28,BE$52:BE$151)</f>
        <v>0</v>
      </c>
      <c r="BF28" s="154">
        <f>SUMIF($BV$52:$BV$151, $C28,BF$52:BF$151)</f>
        <v>0</v>
      </c>
      <c r="BG28" s="154">
        <f>SUMIF($BV$52:$BV$151, $C28,BG$52:BG$151)</f>
        <v>0</v>
      </c>
      <c r="BH28" s="154">
        <f>SUMIF($BV$52:$BV$151, $C28,BH$52:BH$151)</f>
        <v>0</v>
      </c>
      <c r="BI28" s="154">
        <f>SUMIF($BV$52:$BV$151, $C28,BI$52:BI$151)</f>
        <v>0</v>
      </c>
      <c r="BJ28" s="154">
        <f>SUMIF($BV$52:$BV$151, $C28,BJ$52:BJ$151)</f>
        <v>0</v>
      </c>
      <c r="BK28" s="154">
        <f>SUMIF($BV$52:$BV$151, $C28,BK$52:BK$151)</f>
        <v>0</v>
      </c>
      <c r="BL28" s="154">
        <f>SUMIF($BV$52:$BV$151, $C28,BL$52:BL$151)</f>
        <v>0</v>
      </c>
      <c r="BM28" s="154">
        <f>SUMIF($BV$52:$BV$151, $C28,BM$52:BM$151)</f>
        <v>0</v>
      </c>
      <c r="BN28" s="154">
        <f>SUMIF($BV$52:$BV$151, $C28,BN$52:BN$151)</f>
        <v>0</v>
      </c>
      <c r="BO28" s="154">
        <f>SUMIF($BV$52:$BV$151, $C28,BO$52:BO$151)</f>
        <v>0</v>
      </c>
      <c r="BP28" s="154">
        <f>SUMIF($BV$52:$BV$151, $C28,BP$52:BP$151)</f>
        <v>0</v>
      </c>
      <c r="BQ28" s="154">
        <f>SUMIF($BV$52:$BV$151, $C28,BQ$52:BQ$151)</f>
        <v>0</v>
      </c>
      <c r="BR28" s="154">
        <f>SUMIF($BV$52:$BV$151, $C28,BR$52:BR$151)</f>
        <v>0</v>
      </c>
      <c r="BS28" s="154">
        <f>SUMIF($BV$52:$BV$151, $C28,BS$52:BS$151)</f>
        <v>0</v>
      </c>
      <c r="BT28" s="1"/>
      <c r="BU28" s="1"/>
      <c r="BV28" s="23"/>
      <c r="BW28" s="1"/>
      <c r="BX28" s="23"/>
      <c r="BY28" s="1"/>
    </row>
    <row r="29" spans="1:77" ht="16" x14ac:dyDescent="0.15">
      <c r="A29" s="14"/>
      <c r="B29" s="1073" t="str">
        <f t="shared" ref="B29:C29" si="14">B83</f>
        <v>Public engagement</v>
      </c>
      <c r="C29" s="930" t="str">
        <f t="shared" si="14"/>
        <v>Visual engagement</v>
      </c>
      <c r="D29" s="217"/>
      <c r="E29" s="218" t="str">
        <f ca="1">IFERROR(__xludf.DUMMYFUNCTION("ifna(JOIN(""; "", unique(FILTER(E$52:E$153,$CF$52:$CF$153=$C29,E$52:E$153&lt;&gt;""""))),""-"")"),"-")</f>
        <v>-</v>
      </c>
      <c r="F29" s="44">
        <f>SUMIF($BV$52:$BV$151, $C29,F$52:F$151)</f>
        <v>0</v>
      </c>
      <c r="G29" s="262">
        <f>SUMIF($BV$52:$BV$151, $C29,G$52:G$151)</f>
        <v>0</v>
      </c>
      <c r="H29" s="45">
        <f>SUMIF($BV$52:$BV$151, $C29,H$52:H$151)</f>
        <v>5</v>
      </c>
      <c r="I29" s="218" t="str">
        <f ca="1">IFERROR(__xludf.DUMMYFUNCTION("ifna(JOIN(""; "", unique(FILTER(I$52:I$153,$CF$52:$CF$153=$C29,I$52:I$153&lt;&gt;""""))),"""")"),"-")</f>
        <v>-</v>
      </c>
      <c r="J29" s="263" t="str">
        <f ca="1">IFERROR(__xludf.DUMMYFUNCTION("ifna(JOIN(""; "", unique(FILTER(J$52:J$153,$CF$52:$CF$153=$C29,J$52:J$153&lt;&gt;""""))),"""")"),"-")</f>
        <v>-</v>
      </c>
      <c r="K29" s="47">
        <f>IFERROR((SUMIF($BV$52:$BV$151, $C29,L$52:L$151)/IF($H29&gt;0,$H29,SUM($F29:$G29))),"")</f>
        <v>75</v>
      </c>
      <c r="L29" s="48">
        <f>SUMIF($BV$52:$BV$151, $C29,L$52:L$151)</f>
        <v>375</v>
      </c>
      <c r="M29" s="218" t="str">
        <f ca="1">IFERROR(__xludf.DUMMYFUNCTION("ifna(JOIN(""; "", unique(FILTER(M$52:M$153,$CF$52:$CF$153=$C29,M$52:M$153&lt;&gt;""""))),"""")"),"-")</f>
        <v>-</v>
      </c>
      <c r="N29" s="47">
        <f>IFERROR((SUMIF($BV$52:$BV$151, $C29,O$52:O$151)/IF($H29&gt;0,$H29,SUM($F29:$G29))),"")</f>
        <v>50</v>
      </c>
      <c r="O29" s="48">
        <f>SUMIF($BV$52:$BV$151, $C29,O$52:O$151)</f>
        <v>250</v>
      </c>
      <c r="P29" s="48">
        <f t="shared" si="4"/>
        <v>625</v>
      </c>
      <c r="Q29" s="244" t="str">
        <f ca="1">IFERROR(__xludf.DUMMYFUNCTION("ifna(JOIN(""; "", unique(FILTER(Q$52:Q$153,$CF$52:$CF$153=$C29,Q$52:Q$153&lt;&gt;""""))),"""")"),"-")</f>
        <v>-</v>
      </c>
      <c r="R29" s="218" t="str">
        <f ca="1">IFERROR(__xludf.DUMMYFUNCTION("ifna(JOIN(""; "", unique(FILTER(R$52:R$153,$CF$52:$CF$153=$C29,R$52:R$153&lt;&gt;""""))),"""")"),"-")</f>
        <v>-</v>
      </c>
      <c r="S29" s="218" t="str">
        <f ca="1">IFERROR(__xludf.DUMMYFUNCTION("ifna(JOIN(""; "", unique(FILTER(S$52:S$153,$CF$52:$CF$153=$C29,S$52:S$153&lt;&gt;""""))),"""")"),"-")</f>
        <v>-</v>
      </c>
      <c r="T29" s="47">
        <f>IFERROR((SUMIF($BV$52:$BV$151, $C29,U$52:U$151)/IF($H29&gt;0,$H29,SUM($F29:$G29))),"")</f>
        <v>0</v>
      </c>
      <c r="U29" s="48">
        <f>SUMIF($BV$52:$BV$151, $C29,U$52:U$151)</f>
        <v>0</v>
      </c>
      <c r="V29" s="218" t="str">
        <f ca="1">IFERROR(__xludf.DUMMYFUNCTION("ifna(JOIN(""; "", unique(FILTER(V$52:V$153,$CF$52:$CF$153=$C29,V$52:V$153&lt;&gt;""""))),"""")"),"-")</f>
        <v>-</v>
      </c>
      <c r="W29" s="26" t="str">
        <f ca="1">IFERROR(__xludf.DUMMYFUNCTION("ifna(JOIN(""; "", unique(FILTER(W$52:W$153,$CF$52:$CF$153=$C29,W$52:W$153&lt;&gt;""""))),"""")"),"-")</f>
        <v>-</v>
      </c>
      <c r="X29" s="225">
        <f>IFERROR((SUMIF($BV$52:$BV$151, $C29,Y$52:Y$151)/IF($H29&gt;0,$H29,SUM($F29:$G29))),"")</f>
        <v>0</v>
      </c>
      <c r="Y29" s="50">
        <f>SUMIF($BV$52:$BV$151, $C29,Y$52:Y$151)</f>
        <v>0</v>
      </c>
      <c r="Z29" s="1"/>
      <c r="AA29" s="154">
        <f>SUMIF($BV$52:$BV$151, $C29,AA$52:AA$151)</f>
        <v>625</v>
      </c>
      <c r="AB29" s="1"/>
      <c r="AC29" s="214"/>
      <c r="AD29" s="214"/>
      <c r="AE29" s="154">
        <f>SUMIF($BV$52:$BV$151, $C29,AE$52:AE$151)</f>
        <v>625</v>
      </c>
      <c r="AF29" s="154">
        <f>SUMIF($BV$52:$BV$151, $C29,AF$52:AF$151)</f>
        <v>0</v>
      </c>
      <c r="AG29" s="154">
        <f>SUMIF($BV$52:$BV$151, $C29,AG$52:AG$151)</f>
        <v>0</v>
      </c>
      <c r="AH29" s="154">
        <f>SUMIF($BV$52:$BV$151, $C29,AH$52:AH$151)</f>
        <v>0</v>
      </c>
      <c r="AI29" s="154">
        <f>SUMIF($BV$52:$BV$151, $C29,AI$52:AI$151)</f>
        <v>0</v>
      </c>
      <c r="AJ29" s="154">
        <f>SUMIF($BV$52:$BV$151, $C29,AJ$52:AJ$151)</f>
        <v>0</v>
      </c>
      <c r="AK29" s="154">
        <f>SUMIF($BV$52:$BV$151, $C29,AK$52:AK$151)</f>
        <v>0</v>
      </c>
      <c r="AL29" s="154">
        <f>SUMIF($BV$52:$BV$151, $C29,AL$52:AL$151)</f>
        <v>0</v>
      </c>
      <c r="AM29" s="154">
        <f>SUMIF($BV$52:$BV$151, $C29,AM$52:AM$151)</f>
        <v>0</v>
      </c>
      <c r="AN29" s="154">
        <f>SUMIF($BV$52:$BV$151, $C29,AN$52:AN$151)</f>
        <v>0</v>
      </c>
      <c r="AO29" s="154">
        <f>SUMIF($BV$52:$BV$151, $C29,AO$52:AO$151)</f>
        <v>0</v>
      </c>
      <c r="AP29" s="154">
        <f>SUMIF($BV$52:$BV$151, $C29,AP$52:AP$151)</f>
        <v>0</v>
      </c>
      <c r="AQ29" s="154">
        <f>SUMIF($BV$52:$BV$151, $C29,AQ$52:AQ$151)</f>
        <v>0</v>
      </c>
      <c r="AR29" s="154">
        <f>SUMIF($BV$52:$BV$151, $C29,AR$52:AR$151)</f>
        <v>0</v>
      </c>
      <c r="AS29" s="154">
        <f>SUMIF($BV$52:$BV$151, $C29,AS$52:AS$151)</f>
        <v>0</v>
      </c>
      <c r="AT29" s="154">
        <f>SUMIF($BV$52:$BV$151, $C29,AT$52:AT$151)</f>
        <v>0</v>
      </c>
      <c r="AU29" s="154">
        <f>SUMIF($BV$52:$BV$151, $C29,AU$52:AU$151)</f>
        <v>0</v>
      </c>
      <c r="AV29" s="154">
        <f>SUMIF($BV$52:$BV$151, $C29,AV$52:AV$151)</f>
        <v>0</v>
      </c>
      <c r="AW29" s="154">
        <f>SUMIF($BV$52:$BV$151, $C29,AW$52:AW$151)</f>
        <v>0</v>
      </c>
      <c r="AX29" s="154">
        <f>SUMIF($BV$52:$BV$151, $C29,AX$52:AX$151)</f>
        <v>0</v>
      </c>
      <c r="AY29" s="154">
        <f>SUMIF($BV$52:$BV$151, $C29,AY$52:AY$151)</f>
        <v>0</v>
      </c>
      <c r="AZ29" s="154">
        <f>SUMIF($BV$52:$BV$151, $C29,AZ$52:AZ$151)</f>
        <v>0</v>
      </c>
      <c r="BA29" s="154">
        <f>SUMIF($BV$52:$BV$151, $C29,BA$52:BA$151)</f>
        <v>0</v>
      </c>
      <c r="BB29" s="154">
        <f>SUMIF($BV$52:$BV$151, $C29,BB$52:BB$151)</f>
        <v>0</v>
      </c>
      <c r="BC29" s="154">
        <f>SUMIF($BV$52:$BV$151, $C29,BC$52:BC$151)</f>
        <v>0</v>
      </c>
      <c r="BD29" s="154">
        <f>SUMIF($BV$52:$BV$151, $C29,BD$52:BD$151)</f>
        <v>0</v>
      </c>
      <c r="BE29" s="154">
        <f>SUMIF($BV$52:$BV$151, $C29,BE$52:BE$151)</f>
        <v>0</v>
      </c>
      <c r="BF29" s="154">
        <f>SUMIF($BV$52:$BV$151, $C29,BF$52:BF$151)</f>
        <v>0</v>
      </c>
      <c r="BG29" s="154">
        <f>SUMIF($BV$52:$BV$151, $C29,BG$52:BG$151)</f>
        <v>0</v>
      </c>
      <c r="BH29" s="154">
        <f>SUMIF($BV$52:$BV$151, $C29,BH$52:BH$151)</f>
        <v>0</v>
      </c>
      <c r="BI29" s="154">
        <f>SUMIF($BV$52:$BV$151, $C29,BI$52:BI$151)</f>
        <v>0</v>
      </c>
      <c r="BJ29" s="154">
        <f>SUMIF($BV$52:$BV$151, $C29,BJ$52:BJ$151)</f>
        <v>0</v>
      </c>
      <c r="BK29" s="154">
        <f>SUMIF($BV$52:$BV$151, $C29,BK$52:BK$151)</f>
        <v>0</v>
      </c>
      <c r="BL29" s="154">
        <f>SUMIF($BV$52:$BV$151, $C29,BL$52:BL$151)</f>
        <v>0</v>
      </c>
      <c r="BM29" s="154">
        <f>SUMIF($BV$52:$BV$151, $C29,BM$52:BM$151)</f>
        <v>0</v>
      </c>
      <c r="BN29" s="154">
        <f>SUMIF($BV$52:$BV$151, $C29,BN$52:BN$151)</f>
        <v>0</v>
      </c>
      <c r="BO29" s="154">
        <f>SUMIF($BV$52:$BV$151, $C29,BO$52:BO$151)</f>
        <v>0</v>
      </c>
      <c r="BP29" s="154">
        <f>SUMIF($BV$52:$BV$151, $C29,BP$52:BP$151)</f>
        <v>0</v>
      </c>
      <c r="BQ29" s="154">
        <f>SUMIF($BV$52:$BV$151, $C29,BQ$52:BQ$151)</f>
        <v>0</v>
      </c>
      <c r="BR29" s="154">
        <f>SUMIF($BV$52:$BV$151, $C29,BR$52:BR$151)</f>
        <v>0</v>
      </c>
      <c r="BS29" s="154">
        <f>SUMIF($BV$52:$BV$151, $C29,BS$52:BS$151)</f>
        <v>0</v>
      </c>
      <c r="BT29" s="1"/>
      <c r="BU29" s="1"/>
      <c r="BV29" s="23"/>
      <c r="BW29" s="1"/>
      <c r="BX29" s="23"/>
      <c r="BY29" s="1"/>
    </row>
    <row r="30" spans="1:77" ht="16" x14ac:dyDescent="0.15">
      <c r="A30" s="14"/>
      <c r="B30" s="1074"/>
      <c r="C30" s="239" t="str">
        <f>C84</f>
        <v>Interpretation board</v>
      </c>
      <c r="D30" s="253"/>
      <c r="E30" s="223" t="str">
        <f ca="1">IFERROR(__xludf.DUMMYFUNCTION("ifna(JOIN(""; "", unique(FILTER(E$52:E$153,$CF$52:$CF$153=$C30,E$52:E$153&lt;&gt;""""))),""-"")"),"-")</f>
        <v>-</v>
      </c>
      <c r="F30" s="255">
        <f>SUMIF($BV$52:$BV$151, $C30,F$52:F$151)</f>
        <v>0</v>
      </c>
      <c r="G30" s="256">
        <f>SUMIF($BV$52:$BV$151, $C30,G$52:G$151)</f>
        <v>0</v>
      </c>
      <c r="H30" s="257">
        <f>SUMIF($BV$52:$BV$151, $C30,H$52:H$151)</f>
        <v>2</v>
      </c>
      <c r="I30" s="223" t="str">
        <f ca="1">IFERROR(__xludf.DUMMYFUNCTION("ifna(JOIN(""; "", unique(FILTER(I$52:I$153,$CF$52:$CF$153=$C30,I$52:I$153&lt;&gt;""""))),"""")"),"-")</f>
        <v>-</v>
      </c>
      <c r="J30" s="258" t="str">
        <f ca="1">IFERROR(__xludf.DUMMYFUNCTION("ifna(JOIN(""; "", unique(FILTER(J$52:J$153,$CF$52:$CF$153=$C30,J$52:J$153&lt;&gt;""""))),"""")"),"-")</f>
        <v>-</v>
      </c>
      <c r="K30" s="135">
        <f>IFERROR((SUMIF($BV$52:$BV$151, $C30,L$52:L$151)/IF($H30&gt;0,$H30,SUM($F30:$G30))),"")</f>
        <v>250</v>
      </c>
      <c r="L30" s="259">
        <f>SUMIF($BV$52:$BV$151, $C30,L$52:L$151)</f>
        <v>500</v>
      </c>
      <c r="M30" s="223" t="str">
        <f ca="1">IFERROR(__xludf.DUMMYFUNCTION("ifna(JOIN(""; "", unique(FILTER(M$52:M$153,$CF$52:$CF$153=$C30,M$52:M$153&lt;&gt;""""))),"""")"),"-")</f>
        <v>-</v>
      </c>
      <c r="N30" s="135">
        <f>IFERROR((SUMIF($BV$52:$BV$151, $C30,O$52:O$151)/IF($H30&gt;0,$H30,SUM($F30:$G30))),"")</f>
        <v>50</v>
      </c>
      <c r="O30" s="259">
        <f>SUMIF($BV$52:$BV$151, $C30,O$52:O$151)</f>
        <v>100</v>
      </c>
      <c r="P30" s="259">
        <f t="shared" si="4"/>
        <v>600</v>
      </c>
      <c r="Q30" s="223" t="str">
        <f ca="1">IFERROR(__xludf.DUMMYFUNCTION("ifna(JOIN(""; "", unique(FILTER(Q$52:Q$153,$CF$52:$CF$153=$C30,Q$52:Q$153&lt;&gt;""""))),"""")"),"-")</f>
        <v>-</v>
      </c>
      <c r="R30" s="223" t="str">
        <f ca="1">IFERROR(__xludf.DUMMYFUNCTION("ifna(JOIN(""; "", unique(FILTER(R$52:R$153,$CF$52:$CF$153=$C30,R$52:R$153&lt;&gt;""""))),"""")"),"-")</f>
        <v>-</v>
      </c>
      <c r="S30" s="223" t="str">
        <f ca="1">IFERROR(__xludf.DUMMYFUNCTION("ifna(JOIN(""; "", unique(FILTER(S$52:S$153,$CF$52:$CF$153=$C30,S$52:S$153&lt;&gt;""""))),"""")"),"-")</f>
        <v>-</v>
      </c>
      <c r="T30" s="135">
        <f>IFERROR((SUMIF($BV$52:$BV$151, $C30,U$52:U$151)/IF($H30&gt;0,$H30,SUM($F30:$G30))),"")</f>
        <v>0</v>
      </c>
      <c r="U30" s="259">
        <f>SUMIF($BV$52:$BV$151, $C30,U$52:U$151)</f>
        <v>0</v>
      </c>
      <c r="V30" s="223" t="str">
        <f ca="1">IFERROR(__xludf.DUMMYFUNCTION("ifna(JOIN(""; "", unique(FILTER(V$52:V$153,$CF$52:$CF$153=$C30,V$52:V$153&lt;&gt;""""))),"""")"),"-")</f>
        <v>-</v>
      </c>
      <c r="W30" s="254" t="str">
        <f ca="1">IFERROR(__xludf.DUMMYFUNCTION("ifna(JOIN(""; "", unique(FILTER(W$52:W$153,$CF$52:$CF$153=$C30,W$52:W$153&lt;&gt;""""))),"""")"),"-")</f>
        <v>-</v>
      </c>
      <c r="X30" s="260">
        <f>IFERROR((SUMIF($BV$52:$BV$151, $C30,Y$52:Y$151)/IF($H30&gt;0,$H30,SUM($F30:$G30))),"")</f>
        <v>0</v>
      </c>
      <c r="Y30" s="261">
        <f>SUMIF($BV$52:$BV$151, $C30,Y$52:Y$151)</f>
        <v>0</v>
      </c>
      <c r="Z30" s="1"/>
      <c r="AA30" s="154">
        <f>SUMIF($BV$52:$BV$151, $C30,AA$52:AA$151)</f>
        <v>600</v>
      </c>
      <c r="AB30" s="1"/>
      <c r="AC30" s="214"/>
      <c r="AD30" s="214"/>
      <c r="AE30" s="154">
        <f>SUMIF($BV$52:$BV$151, $C30,AE$52:AE$151)</f>
        <v>600</v>
      </c>
      <c r="AF30" s="154">
        <f>SUMIF($BV$52:$BV$151, $C30,AF$52:AF$151)</f>
        <v>0</v>
      </c>
      <c r="AG30" s="154">
        <f>SUMIF($BV$52:$BV$151, $C30,AG$52:AG$151)</f>
        <v>0</v>
      </c>
      <c r="AH30" s="154">
        <f>SUMIF($BV$52:$BV$151, $C30,AH$52:AH$151)</f>
        <v>0</v>
      </c>
      <c r="AI30" s="154">
        <f>SUMIF($BV$52:$BV$151, $C30,AI$52:AI$151)</f>
        <v>0</v>
      </c>
      <c r="AJ30" s="154">
        <f>SUMIF($BV$52:$BV$151, $C30,AJ$52:AJ$151)</f>
        <v>0</v>
      </c>
      <c r="AK30" s="154">
        <f>SUMIF($BV$52:$BV$151, $C30,AK$52:AK$151)</f>
        <v>0</v>
      </c>
      <c r="AL30" s="154">
        <f>SUMIF($BV$52:$BV$151, $C30,AL$52:AL$151)</f>
        <v>0</v>
      </c>
      <c r="AM30" s="154">
        <f>SUMIF($BV$52:$BV$151, $C30,AM$52:AM$151)</f>
        <v>0</v>
      </c>
      <c r="AN30" s="154">
        <f>SUMIF($BV$52:$BV$151, $C30,AN$52:AN$151)</f>
        <v>0</v>
      </c>
      <c r="AO30" s="154">
        <f>SUMIF($BV$52:$BV$151, $C30,AO$52:AO$151)</f>
        <v>0</v>
      </c>
      <c r="AP30" s="154">
        <f>SUMIF($BV$52:$BV$151, $C30,AP$52:AP$151)</f>
        <v>0</v>
      </c>
      <c r="AQ30" s="154">
        <f>SUMIF($BV$52:$BV$151, $C30,AQ$52:AQ$151)</f>
        <v>0</v>
      </c>
      <c r="AR30" s="154">
        <f>SUMIF($BV$52:$BV$151, $C30,AR$52:AR$151)</f>
        <v>0</v>
      </c>
      <c r="AS30" s="154">
        <f>SUMIF($BV$52:$BV$151, $C30,AS$52:AS$151)</f>
        <v>0</v>
      </c>
      <c r="AT30" s="154">
        <f>SUMIF($BV$52:$BV$151, $C30,AT$52:AT$151)</f>
        <v>0</v>
      </c>
      <c r="AU30" s="154">
        <f>SUMIF($BV$52:$BV$151, $C30,AU$52:AU$151)</f>
        <v>0</v>
      </c>
      <c r="AV30" s="154">
        <f>SUMIF($BV$52:$BV$151, $C30,AV$52:AV$151)</f>
        <v>0</v>
      </c>
      <c r="AW30" s="154">
        <f>SUMIF($BV$52:$BV$151, $C30,AW$52:AW$151)</f>
        <v>0</v>
      </c>
      <c r="AX30" s="154">
        <f>SUMIF($BV$52:$BV$151, $C30,AX$52:AX$151)</f>
        <v>0</v>
      </c>
      <c r="AY30" s="154">
        <f>SUMIF($BV$52:$BV$151, $C30,AY$52:AY$151)</f>
        <v>0</v>
      </c>
      <c r="AZ30" s="154">
        <f>SUMIF($BV$52:$BV$151, $C30,AZ$52:AZ$151)</f>
        <v>0</v>
      </c>
      <c r="BA30" s="154">
        <f>SUMIF($BV$52:$BV$151, $C30,BA$52:BA$151)</f>
        <v>0</v>
      </c>
      <c r="BB30" s="154">
        <f>SUMIF($BV$52:$BV$151, $C30,BB$52:BB$151)</f>
        <v>0</v>
      </c>
      <c r="BC30" s="154">
        <f>SUMIF($BV$52:$BV$151, $C30,BC$52:BC$151)</f>
        <v>0</v>
      </c>
      <c r="BD30" s="154">
        <f>SUMIF($BV$52:$BV$151, $C30,BD$52:BD$151)</f>
        <v>0</v>
      </c>
      <c r="BE30" s="154">
        <f>SUMIF($BV$52:$BV$151, $C30,BE$52:BE$151)</f>
        <v>0</v>
      </c>
      <c r="BF30" s="154">
        <f>SUMIF($BV$52:$BV$151, $C30,BF$52:BF$151)</f>
        <v>0</v>
      </c>
      <c r="BG30" s="154">
        <f>SUMIF($BV$52:$BV$151, $C30,BG$52:BG$151)</f>
        <v>0</v>
      </c>
      <c r="BH30" s="154">
        <f>SUMIF($BV$52:$BV$151, $C30,BH$52:BH$151)</f>
        <v>0</v>
      </c>
      <c r="BI30" s="154">
        <f>SUMIF($BV$52:$BV$151, $C30,BI$52:BI$151)</f>
        <v>0</v>
      </c>
      <c r="BJ30" s="154">
        <f>SUMIF($BV$52:$BV$151, $C30,BJ$52:BJ$151)</f>
        <v>0</v>
      </c>
      <c r="BK30" s="154">
        <f>SUMIF($BV$52:$BV$151, $C30,BK$52:BK$151)</f>
        <v>0</v>
      </c>
      <c r="BL30" s="154">
        <f>SUMIF($BV$52:$BV$151, $C30,BL$52:BL$151)</f>
        <v>0</v>
      </c>
      <c r="BM30" s="154">
        <f>SUMIF($BV$52:$BV$151, $C30,BM$52:BM$151)</f>
        <v>0</v>
      </c>
      <c r="BN30" s="154">
        <f>SUMIF($BV$52:$BV$151, $C30,BN$52:BN$151)</f>
        <v>0</v>
      </c>
      <c r="BO30" s="154">
        <f>SUMIF($BV$52:$BV$151, $C30,BO$52:BO$151)</f>
        <v>0</v>
      </c>
      <c r="BP30" s="154">
        <f>SUMIF($BV$52:$BV$151, $C30,BP$52:BP$151)</f>
        <v>0</v>
      </c>
      <c r="BQ30" s="154">
        <f>SUMIF($BV$52:$BV$151, $C30,BQ$52:BQ$151)</f>
        <v>0</v>
      </c>
      <c r="BR30" s="154">
        <f>SUMIF($BV$52:$BV$151, $C30,BR$52:BR$151)</f>
        <v>0</v>
      </c>
      <c r="BS30" s="154">
        <f>SUMIF($BV$52:$BV$151, $C30,BS$52:BS$151)</f>
        <v>0</v>
      </c>
      <c r="BT30" s="1"/>
      <c r="BU30" s="1"/>
      <c r="BV30" s="23"/>
      <c r="BW30" s="1"/>
      <c r="BX30" s="23"/>
      <c r="BY30" s="1"/>
    </row>
    <row r="31" spans="1:77" ht="15" x14ac:dyDescent="0.15">
      <c r="A31" s="264"/>
      <c r="B31" s="1075" t="str">
        <f>B86</f>
        <v>Total Landscaping and Biodiversity Expenses (excl General Provisions)</v>
      </c>
      <c r="C31" s="1076"/>
      <c r="D31" s="1076"/>
      <c r="E31" s="931"/>
      <c r="F31" s="932">
        <f t="shared" ref="F31:H31" si="15">SUM(F7:F30)</f>
        <v>65.744</v>
      </c>
      <c r="G31" s="932">
        <f t="shared" si="15"/>
        <v>4.5222460000000009</v>
      </c>
      <c r="H31" s="933">
        <f t="shared" si="15"/>
        <v>14717.000000000002</v>
      </c>
      <c r="I31" s="931"/>
      <c r="J31" s="934"/>
      <c r="K31" s="935"/>
      <c r="L31" s="936">
        <f>SUM(L7:L30)</f>
        <v>223997.364</v>
      </c>
      <c r="M31" s="937" t="s">
        <v>51</v>
      </c>
      <c r="N31" s="935"/>
      <c r="O31" s="936">
        <f>SUM(O7:O30)</f>
        <v>82254.34</v>
      </c>
      <c r="P31" s="936">
        <f t="shared" si="4"/>
        <v>306251.70400000003</v>
      </c>
      <c r="Q31" s="1077" t="s">
        <v>52</v>
      </c>
      <c r="R31" s="1076"/>
      <c r="S31" s="1076"/>
      <c r="T31" s="1076"/>
      <c r="U31" s="938">
        <f>SUM(U7:U30)</f>
        <v>16977.085200000001</v>
      </c>
      <c r="V31" s="931"/>
      <c r="W31" s="939"/>
      <c r="X31" s="940"/>
      <c r="Y31" s="941">
        <f>SUM(Y7:Y30)</f>
        <v>15748.86</v>
      </c>
      <c r="Z31" s="267"/>
      <c r="AA31" s="265">
        <f>SUM(AA7:AA30)</f>
        <v>598596.10912153882</v>
      </c>
      <c r="AB31" s="267"/>
      <c r="AC31" s="265">
        <f t="shared" ref="AC31:BS31" si="16">SUM(AC7:AC30)</f>
        <v>0</v>
      </c>
      <c r="AD31" s="265">
        <f t="shared" si="16"/>
        <v>0</v>
      </c>
      <c r="AE31" s="265">
        <f t="shared" si="16"/>
        <v>306251.70400000003</v>
      </c>
      <c r="AF31" s="265">
        <f t="shared" si="16"/>
        <v>17401.512329999998</v>
      </c>
      <c r="AG31" s="265">
        <f t="shared" si="16"/>
        <v>17836.550138250001</v>
      </c>
      <c r="AH31" s="265">
        <f t="shared" si="16"/>
        <v>18282.463891706248</v>
      </c>
      <c r="AI31" s="265">
        <f t="shared" si="16"/>
        <v>16986.422040023434</v>
      </c>
      <c r="AJ31" s="265">
        <f t="shared" si="16"/>
        <v>17828.572221580664</v>
      </c>
      <c r="AK31" s="265">
        <f t="shared" si="16"/>
        <v>17846.359655799613</v>
      </c>
      <c r="AL31" s="265">
        <f t="shared" si="16"/>
        <v>18292.518647194604</v>
      </c>
      <c r="AM31" s="265">
        <f t="shared" si="16"/>
        <v>18749.83161337447</v>
      </c>
      <c r="AN31" s="265">
        <f t="shared" si="16"/>
        <v>19218.577403708827</v>
      </c>
      <c r="AO31" s="265">
        <f t="shared" si="16"/>
        <v>19699.041838801553</v>
      </c>
      <c r="AP31" s="265">
        <f t="shared" si="16"/>
        <v>20191.517884771591</v>
      </c>
      <c r="AQ31" s="265">
        <f t="shared" si="16"/>
        <v>20696.305831890881</v>
      </c>
      <c r="AR31" s="265">
        <f t="shared" si="16"/>
        <v>21213.71347768815</v>
      </c>
      <c r="AS31" s="265">
        <f t="shared" si="16"/>
        <v>21744.056314630354</v>
      </c>
      <c r="AT31" s="265">
        <f t="shared" si="16"/>
        <v>22287.657722496111</v>
      </c>
      <c r="AU31" s="265">
        <f t="shared" si="16"/>
        <v>22844.849165558517</v>
      </c>
      <c r="AV31" s="265">
        <f t="shared" si="16"/>
        <v>23415.970394697473</v>
      </c>
      <c r="AW31" s="265">
        <f t="shared" si="16"/>
        <v>24001.369654564915</v>
      </c>
      <c r="AX31" s="265">
        <f t="shared" si="16"/>
        <v>24601.40389592903</v>
      </c>
      <c r="AY31" s="265">
        <f t="shared" si="16"/>
        <v>25216.438993327258</v>
      </c>
      <c r="AZ31" s="265">
        <f t="shared" si="16"/>
        <v>25846.84996816043</v>
      </c>
      <c r="BA31" s="265">
        <f t="shared" si="16"/>
        <v>26493.021217364447</v>
      </c>
      <c r="BB31" s="265">
        <f t="shared" si="16"/>
        <v>27155.346747798558</v>
      </c>
      <c r="BC31" s="265">
        <f t="shared" si="16"/>
        <v>27834.230416493519</v>
      </c>
      <c r="BD31" s="265">
        <f t="shared" si="16"/>
        <v>28530.086176905854</v>
      </c>
      <c r="BE31" s="265">
        <f t="shared" si="16"/>
        <v>29243.338331328498</v>
      </c>
      <c r="BF31" s="265">
        <f t="shared" si="16"/>
        <v>29974.421789611708</v>
      </c>
      <c r="BG31" s="265">
        <f t="shared" si="16"/>
        <v>30723.782334351999</v>
      </c>
      <c r="BH31" s="265">
        <f t="shared" si="16"/>
        <v>31491.876892710799</v>
      </c>
      <c r="BI31" s="265">
        <f t="shared" si="16"/>
        <v>32279.173815028567</v>
      </c>
      <c r="BJ31" s="265">
        <f t="shared" si="16"/>
        <v>33086.15316040429</v>
      </c>
      <c r="BK31" s="265">
        <f t="shared" si="16"/>
        <v>33913.306989414392</v>
      </c>
      <c r="BL31" s="265">
        <f t="shared" si="16"/>
        <v>34761.139664149749</v>
      </c>
      <c r="BM31" s="265">
        <f t="shared" si="16"/>
        <v>35630.168155753498</v>
      </c>
      <c r="BN31" s="265">
        <f t="shared" si="16"/>
        <v>36520.922359647317</v>
      </c>
      <c r="BO31" s="265">
        <f t="shared" si="16"/>
        <v>37433.945418638512</v>
      </c>
      <c r="BP31" s="265">
        <f t="shared" si="16"/>
        <v>38369.794054104466</v>
      </c>
      <c r="BQ31" s="265">
        <f t="shared" si="16"/>
        <v>39329.03890545707</v>
      </c>
      <c r="BR31" s="265">
        <f t="shared" si="16"/>
        <v>40312.264878093491</v>
      </c>
      <c r="BS31" s="265">
        <f t="shared" si="16"/>
        <v>41320.071500045829</v>
      </c>
      <c r="BT31" s="5"/>
      <c r="BU31" s="267"/>
      <c r="BV31" s="266"/>
      <c r="BW31" s="267"/>
      <c r="BX31" s="266"/>
      <c r="BY31" s="5"/>
    </row>
    <row r="32" spans="1:77" ht="5.25" customHeight="1" x14ac:dyDescent="0.15">
      <c r="A32" s="268"/>
      <c r="B32" s="269"/>
      <c r="C32" s="270"/>
      <c r="D32" s="270"/>
      <c r="E32" s="271"/>
      <c r="F32" s="272"/>
      <c r="G32" s="272"/>
      <c r="H32" s="273"/>
      <c r="I32" s="272"/>
      <c r="J32" s="274"/>
      <c r="K32" s="274"/>
      <c r="L32" s="275"/>
      <c r="M32" s="271"/>
      <c r="N32" s="276"/>
      <c r="O32" s="275"/>
      <c r="P32" s="275"/>
      <c r="Q32" s="272"/>
      <c r="R32" s="272"/>
      <c r="S32" s="272"/>
      <c r="T32" s="274"/>
      <c r="U32" s="275"/>
      <c r="V32" s="272"/>
      <c r="W32" s="272"/>
      <c r="X32" s="277"/>
      <c r="Y32" s="278"/>
      <c r="Z32" s="279"/>
      <c r="AA32" s="280"/>
      <c r="AB32" s="279"/>
      <c r="AC32" s="280"/>
      <c r="AD32" s="280"/>
      <c r="AE32" s="280"/>
      <c r="AF32" s="280"/>
      <c r="AG32" s="280"/>
      <c r="AH32" s="280"/>
      <c r="AI32" s="280"/>
      <c r="AJ32" s="280"/>
      <c r="AK32" s="280"/>
      <c r="AL32" s="280"/>
      <c r="AM32" s="280"/>
      <c r="AN32" s="280"/>
      <c r="AO32" s="280"/>
      <c r="AP32" s="280"/>
      <c r="AQ32" s="280"/>
      <c r="AR32" s="280"/>
      <c r="AS32" s="280"/>
      <c r="AT32" s="280"/>
      <c r="AU32" s="280"/>
      <c r="AV32" s="280"/>
      <c r="AW32" s="280"/>
      <c r="AX32" s="280"/>
      <c r="AY32" s="280"/>
      <c r="AZ32" s="280"/>
      <c r="BA32" s="280"/>
      <c r="BB32" s="280"/>
      <c r="BC32" s="280"/>
      <c r="BD32" s="280"/>
      <c r="BE32" s="280"/>
      <c r="BF32" s="280"/>
      <c r="BG32" s="280"/>
      <c r="BH32" s="280"/>
      <c r="BI32" s="280"/>
      <c r="BJ32" s="280"/>
      <c r="BK32" s="280"/>
      <c r="BL32" s="280"/>
      <c r="BM32" s="280"/>
      <c r="BN32" s="280"/>
      <c r="BO32" s="280"/>
      <c r="BP32" s="280"/>
      <c r="BQ32" s="280"/>
      <c r="BR32" s="280"/>
      <c r="BS32" s="280"/>
      <c r="BT32" s="281"/>
      <c r="BU32" s="281"/>
      <c r="BV32" s="271"/>
      <c r="BW32" s="279"/>
      <c r="BX32" s="271"/>
      <c r="BY32" s="281"/>
    </row>
    <row r="33" spans="1:77" ht="16" x14ac:dyDescent="0.15">
      <c r="A33" s="270"/>
      <c r="B33" s="1078" t="str">
        <f>B88</f>
        <v>General Provisions</v>
      </c>
      <c r="C33" s="1049"/>
      <c r="D33" s="1049"/>
      <c r="E33" s="282"/>
      <c r="F33" s="283">
        <f>SUMIF($BV$52:$BV$151, $B33,F$52:F$151)</f>
        <v>0</v>
      </c>
      <c r="G33" s="283">
        <f>SUMIF($BV$52:$BV$151, $B33,G$52:G$151)</f>
        <v>0</v>
      </c>
      <c r="H33" s="273">
        <f>SUMIF($BV$52:$BV$151, $B33,H$52:H$151)</f>
        <v>0.05</v>
      </c>
      <c r="I33" s="283" t="s">
        <v>117</v>
      </c>
      <c r="J33" s="284" t="s">
        <v>117</v>
      </c>
      <c r="K33" s="284" t="s">
        <v>117</v>
      </c>
      <c r="L33" s="275">
        <f>SUMIF($BV$52:$BV$151, $B33,L$52:L$151)</f>
        <v>11199.868200000001</v>
      </c>
      <c r="M33" s="282" t="str">
        <f ca="1">IFERROR(__xludf.DUMMYFUNCTION("ifna(JOIN(""; "", unique(FILTER(M$52:M$153,$CF$52:$CF$153=$B33,M$52:M$153&lt;&gt;""""))),"""")"),"")</f>
        <v/>
      </c>
      <c r="N33" s="285"/>
      <c r="O33" s="275">
        <f>SUMIF($BV$52:$BV$151, $B33,O$52:O$151)</f>
        <v>4112.7169999999996</v>
      </c>
      <c r="P33" s="275">
        <f>L33+O33</f>
        <v>15312.585200000001</v>
      </c>
      <c r="Q33" s="283" t="str">
        <f ca="1">IFERROR(__xludf.DUMMYFUNCTION("ifna(JOIN(""; "", unique(FILTER(Q$52:Q$153,$CF$52:$CF$153=$B33,Q$52:Q$153&lt;&gt;""""))),"""")"),"-")</f>
        <v>-</v>
      </c>
      <c r="R33" s="283" t="str">
        <f ca="1">IFERROR(__xludf.DUMMYFUNCTION("ifna(JOIN(""; "", unique(FILTER(R$52:R$153,$CF$52:$CF$153=$B33,R$52:R$153&lt;&gt;""""))),"""")"),"-")</f>
        <v>-</v>
      </c>
      <c r="S33" s="283" t="str">
        <f ca="1">IFERROR(__xludf.DUMMYFUNCTION("ifna(JOIN(""; "", unique(FILTER(S$52:S$153,$CF$52:$CF$153=$B33,S$52:S$153&lt;&gt;""""))),"""")"),"-")</f>
        <v>-</v>
      </c>
      <c r="T33" s="284" t="s">
        <v>117</v>
      </c>
      <c r="U33" s="275">
        <f>SUMIF($BV$52:$BV$151, $B33,U$52:U$151)</f>
        <v>848.85426000000007</v>
      </c>
      <c r="V33" s="283" t="str">
        <f ca="1">IFERROR(__xludf.DUMMYFUNCTION("ifna(JOIN(""; "", unique(FILTER(V$52:V$153,$CF$52:$CF$153=$B33,V$52:V$153&lt;&gt;""""))),"""")"),"-")</f>
        <v>-</v>
      </c>
      <c r="W33" s="283" t="str">
        <f ca="1">IFERROR(__xludf.DUMMYFUNCTION("ifna(JOIN(""; "", unique(FILTER(W$52:W$153,$CF$52:$CF$153=$B33,W$52:W$153&lt;&gt;""""))),"""")"),"-")</f>
        <v>-</v>
      </c>
      <c r="X33" s="286" t="s">
        <v>117</v>
      </c>
      <c r="Y33" s="278">
        <f>SUMIF($BV$52:$BV$151, $B33,Y$52:Y$151)</f>
        <v>787.44299999999998</v>
      </c>
      <c r="Z33" s="287"/>
      <c r="AA33" s="288">
        <f>SUMIF($BV$52:$BV$151, $B33,AA$52:AA$151)</f>
        <v>25971.708561099505</v>
      </c>
      <c r="AB33" s="287"/>
      <c r="AC33" s="288">
        <f>SUMIF($BV$52:$BV$151, $B33,AC$52:AC$151)</f>
        <v>0</v>
      </c>
      <c r="AD33" s="288">
        <f>SUMIF($BV$52:$BV$151, $B33,AD$52:AD$151)</f>
        <v>0</v>
      </c>
      <c r="AE33" s="288">
        <f>SUMIF($BV$52:$BV$151, $B33,AE$52:AE$151)</f>
        <v>15312.585200000001</v>
      </c>
      <c r="AF33" s="288">
        <f>SUMIF($BV$52:$BV$151, $B33,AF$52:AF$151)</f>
        <v>848.85426000000007</v>
      </c>
      <c r="AG33" s="288">
        <f>SUMIF($BV$52:$BV$151, $B33,AG$52:AG$151)</f>
        <v>848.85426000000007</v>
      </c>
      <c r="AH33" s="288">
        <f>SUMIF($BV$52:$BV$151, $B33,AH$52:AH$151)</f>
        <v>848.85426000000007</v>
      </c>
      <c r="AI33" s="288">
        <f>SUMIF($BV$52:$BV$151, $B33,AI$52:AI$151)</f>
        <v>787.44299999999998</v>
      </c>
      <c r="AJ33" s="288">
        <f>SUMIF($BV$52:$BV$151, $B33,AJ$52:AJ$151)</f>
        <v>787.44299999999998</v>
      </c>
      <c r="AK33" s="288">
        <f>SUMIF($BV$52:$BV$151, $B33,AK$52:AK$151)</f>
        <v>787.44299999999998</v>
      </c>
      <c r="AL33" s="288">
        <f>SUMIF($BV$52:$BV$151, $B33,AL$52:AL$151)</f>
        <v>787.44299999999998</v>
      </c>
      <c r="AM33" s="288">
        <f>SUMIF($BV$52:$BV$151, $B33,AM$52:AM$151)</f>
        <v>787.44299999999998</v>
      </c>
      <c r="AN33" s="288">
        <f>SUMIF($BV$52:$BV$151, $B33,AN$52:AN$151)</f>
        <v>787.44299999999998</v>
      </c>
      <c r="AO33" s="288">
        <f>SUMIF($BV$52:$BV$151, $B33,AO$52:AO$151)</f>
        <v>787.44299999999998</v>
      </c>
      <c r="AP33" s="288">
        <f>SUMIF($BV$52:$BV$151, $B33,AP$52:AP$151)</f>
        <v>787.44299999999998</v>
      </c>
      <c r="AQ33" s="288">
        <f>SUMIF($BV$52:$BV$151, $B33,AQ$52:AQ$151)</f>
        <v>787.44299999999998</v>
      </c>
      <c r="AR33" s="288">
        <f>SUMIF($BV$52:$BV$151, $B33,AR$52:AR$151)</f>
        <v>787.44299999999998</v>
      </c>
      <c r="AS33" s="288">
        <f>SUMIF($BV$52:$BV$151, $B33,AS$52:AS$151)</f>
        <v>787.44299999999998</v>
      </c>
      <c r="AT33" s="288">
        <f>SUMIF($BV$52:$BV$151, $B33,AT$52:AT$151)</f>
        <v>787.44299999999998</v>
      </c>
      <c r="AU33" s="288">
        <f>SUMIF($BV$52:$BV$151, $B33,AU$52:AU$151)</f>
        <v>787.44299999999998</v>
      </c>
      <c r="AV33" s="288">
        <f>SUMIF($BV$52:$BV$151, $B33,AV$52:AV$151)</f>
        <v>787.44299999999998</v>
      </c>
      <c r="AW33" s="288">
        <f>SUMIF($BV$52:$BV$151, $B33,AW$52:AW$151)</f>
        <v>787.44299999999998</v>
      </c>
      <c r="AX33" s="288">
        <f>SUMIF($BV$52:$BV$151, $B33,AX$52:AX$151)</f>
        <v>787.44299999999998</v>
      </c>
      <c r="AY33" s="288">
        <f>SUMIF($BV$52:$BV$151, $B33,AY$52:AY$151)</f>
        <v>787.44299999999998</v>
      </c>
      <c r="AZ33" s="288">
        <f>SUMIF($BV$52:$BV$151, $B33,AZ$52:AZ$151)</f>
        <v>787.44299999999998</v>
      </c>
      <c r="BA33" s="288">
        <f>SUMIF($BV$52:$BV$151, $B33,BA$52:BA$151)</f>
        <v>787.44299999999998</v>
      </c>
      <c r="BB33" s="288">
        <f>SUMIF($BV$52:$BV$151, $B33,BB$52:BB$151)</f>
        <v>787.44299999999998</v>
      </c>
      <c r="BC33" s="288">
        <f>SUMIF($BV$52:$BV$151, $B33,BC$52:BC$151)</f>
        <v>787.44299999999998</v>
      </c>
      <c r="BD33" s="288">
        <f>SUMIF($BV$52:$BV$151, $B33,BD$52:BD$151)</f>
        <v>787.44299999999998</v>
      </c>
      <c r="BE33" s="288">
        <f>SUMIF($BV$52:$BV$151, $B33,BE$52:BE$151)</f>
        <v>787.44299999999998</v>
      </c>
      <c r="BF33" s="288">
        <f>SUMIF($BV$52:$BV$151, $B33,BF$52:BF$151)</f>
        <v>787.44299999999998</v>
      </c>
      <c r="BG33" s="288">
        <f>SUMIF($BV$52:$BV$151, $B33,BG$52:BG$151)</f>
        <v>787.44299999999998</v>
      </c>
      <c r="BH33" s="288">
        <f>SUMIF($BV$52:$BV$151, $B33,BH$52:BH$151)</f>
        <v>787.44299999999998</v>
      </c>
      <c r="BI33" s="288">
        <f>SUMIF($BV$52:$BV$151, $B33,BI$52:BI$151)</f>
        <v>787.44299999999998</v>
      </c>
      <c r="BJ33" s="288">
        <f>SUMIF($BV$52:$BV$151, $B33,BJ$52:BJ$151)</f>
        <v>787.44299999999998</v>
      </c>
      <c r="BK33" s="288">
        <f>SUMIF($BV$52:$BV$151, $B33,BK$52:BK$151)</f>
        <v>787.44299999999998</v>
      </c>
      <c r="BL33" s="288">
        <f>SUMIF($BV$52:$BV$151, $B33,BL$52:BL$151)</f>
        <v>787.44299999999998</v>
      </c>
      <c r="BM33" s="288">
        <f>SUMIF($BV$52:$BV$151, $B33,BM$52:BM$151)</f>
        <v>787.44299999999998</v>
      </c>
      <c r="BN33" s="288">
        <f>SUMIF($BV$52:$BV$151, $B33,BN$52:BN$151)</f>
        <v>787.44299999999998</v>
      </c>
      <c r="BO33" s="288">
        <f>SUMIF($BV$52:$BV$151, $B33,BO$52:BO$151)</f>
        <v>787.44299999999998</v>
      </c>
      <c r="BP33" s="288">
        <f>SUMIF($BV$52:$BV$151, $B33,BP$52:BP$151)</f>
        <v>787.44299999999998</v>
      </c>
      <c r="BQ33" s="288">
        <f>SUMIF($BV$52:$BV$151, $B33,BQ$52:BQ$151)</f>
        <v>787.44299999999998</v>
      </c>
      <c r="BR33" s="288">
        <f>SUMIF($BV$52:$BV$151, $B33,BR$52:BR$151)</f>
        <v>787.44299999999998</v>
      </c>
      <c r="BS33" s="288">
        <f>SUMIF($BV$52:$BV$151, $B33,BS$52:BS$151)</f>
        <v>787.44299999999998</v>
      </c>
      <c r="BT33" s="289"/>
      <c r="BU33" s="289"/>
      <c r="BV33" s="290"/>
      <c r="BW33" s="287"/>
      <c r="BX33" s="290"/>
      <c r="BY33" s="289"/>
    </row>
    <row r="34" spans="1:77" ht="5.25" customHeight="1" x14ac:dyDescent="0.15">
      <c r="A34" s="291"/>
      <c r="B34" s="292"/>
      <c r="C34" s="293"/>
      <c r="D34" s="293"/>
      <c r="E34" s="14"/>
      <c r="F34" s="294"/>
      <c r="G34" s="294"/>
      <c r="H34" s="295"/>
      <c r="I34" s="294"/>
      <c r="J34" s="296"/>
      <c r="K34" s="296"/>
      <c r="L34" s="297"/>
      <c r="M34" s="156"/>
      <c r="N34" s="298"/>
      <c r="O34" s="299"/>
      <c r="P34" s="297"/>
      <c r="Q34" s="272"/>
      <c r="R34" s="272"/>
      <c r="S34" s="272"/>
      <c r="T34" s="300"/>
      <c r="U34" s="297"/>
      <c r="V34" s="272"/>
      <c r="W34" s="272"/>
      <c r="X34" s="277"/>
      <c r="Y34" s="301"/>
      <c r="Z34" s="302"/>
      <c r="AA34" s="303"/>
      <c r="AB34" s="302"/>
      <c r="AC34" s="303"/>
      <c r="AD34" s="303"/>
      <c r="AE34" s="303"/>
      <c r="AF34" s="303"/>
      <c r="AG34" s="303"/>
      <c r="AH34" s="303"/>
      <c r="AI34" s="303"/>
      <c r="AJ34" s="303"/>
      <c r="AK34" s="303"/>
      <c r="AL34" s="303"/>
      <c r="AM34" s="303"/>
      <c r="AN34" s="303"/>
      <c r="AO34" s="303"/>
      <c r="AP34" s="303"/>
      <c r="AQ34" s="303"/>
      <c r="AR34" s="303"/>
      <c r="AS34" s="303"/>
      <c r="AT34" s="303"/>
      <c r="AU34" s="303"/>
      <c r="AV34" s="303"/>
      <c r="AW34" s="303"/>
      <c r="AX34" s="303"/>
      <c r="AY34" s="303"/>
      <c r="AZ34" s="303"/>
      <c r="BA34" s="303"/>
      <c r="BB34" s="303"/>
      <c r="BC34" s="303"/>
      <c r="BD34" s="303"/>
      <c r="BE34" s="303"/>
      <c r="BF34" s="303"/>
      <c r="BG34" s="303"/>
      <c r="BH34" s="303"/>
      <c r="BI34" s="303"/>
      <c r="BJ34" s="303"/>
      <c r="BK34" s="303"/>
      <c r="BL34" s="303"/>
      <c r="BM34" s="303"/>
      <c r="BN34" s="303"/>
      <c r="BO34" s="303"/>
      <c r="BP34" s="303"/>
      <c r="BQ34" s="303"/>
      <c r="BR34" s="303"/>
      <c r="BS34" s="303"/>
      <c r="BT34" s="1"/>
      <c r="BU34" s="1"/>
      <c r="BV34" s="14"/>
      <c r="BW34" s="302"/>
      <c r="BX34" s="14"/>
      <c r="BY34" s="1"/>
    </row>
    <row r="35" spans="1:77" ht="16" x14ac:dyDescent="0.15">
      <c r="A35" s="293"/>
      <c r="B35" s="1079" t="str">
        <f>B90</f>
        <v>Grants/Reductions</v>
      </c>
      <c r="C35" s="1049"/>
      <c r="D35" s="1049"/>
      <c r="E35" s="304"/>
      <c r="F35" s="305">
        <f>SUMIF($BV$52:$BV$151, $B35,F$52:F$151)</f>
        <v>0</v>
      </c>
      <c r="G35" s="305">
        <f>SUMIF($BV$52:$BV$151, $B35,G$52:G$151)</f>
        <v>0</v>
      </c>
      <c r="H35" s="306">
        <f>SUMIF($BV$52:$BV$151, $B35,H$52:H$151)</f>
        <v>0</v>
      </c>
      <c r="I35" s="305" t="str">
        <f ca="1">IFERROR(__xludf.DUMMYFUNCTION("ifna(JOIN(""; "", unique(FILTER(I$52:I$153,$CF$52:$CF$153=$B35,I$52:I$153&lt;&gt;""""))),"""")"),"-")</f>
        <v>-</v>
      </c>
      <c r="J35" s="307" t="str">
        <f ca="1">IFERROR(__xludf.DUMMYFUNCTION("ifna(JOIN(""; "", unique(FILTER(J$52:J$153,$CF$52:$CF$153=$B35,J$52:J$153&lt;&gt;""""))),"""")"),"-")</f>
        <v>-</v>
      </c>
      <c r="K35" s="307" t="s">
        <v>117</v>
      </c>
      <c r="L35" s="297">
        <f>SUMIF($BV$52:$BV$151, $B35,L$52:L$151)</f>
        <v>-25000</v>
      </c>
      <c r="M35" s="308"/>
      <c r="N35" s="309"/>
      <c r="O35" s="310" t="s">
        <v>117</v>
      </c>
      <c r="P35" s="297">
        <f>IFERROR(L35+O35,L35)</f>
        <v>-25000</v>
      </c>
      <c r="Q35" s="311" t="str">
        <f ca="1">IFERROR(__xludf.DUMMYFUNCTION("ifna(JOIN(""; "", unique(FILTER(Q$52:Q$153,$CF$52:$CF$153=$B35,Q$52:Q$153&lt;&gt;""""))),"""")"),"-")</f>
        <v>-</v>
      </c>
      <c r="R35" s="311" t="str">
        <f ca="1">IFERROR(__xludf.DUMMYFUNCTION("ifna(JOIN(""; "", unique(FILTER(R$52:R$153,$CF$52:$CF$153=$B35,R$52:R$153&lt;&gt;""""))),"""")"),"-")</f>
        <v>-</v>
      </c>
      <c r="S35" s="311" t="str">
        <f ca="1">IFERROR(__xludf.DUMMYFUNCTION("ifna(JOIN(""; "", unique(FILTER(S$52:S$153,$CF$52:$CF$153=$B35,S$52:S$153&lt;&gt;""""))),"""")"),"-")</f>
        <v>-</v>
      </c>
      <c r="T35" s="312" t="s">
        <v>117</v>
      </c>
      <c r="U35" s="297">
        <f>SUMIF($BV$52:$BV$151, $B35,U$52:U$151)</f>
        <v>0</v>
      </c>
      <c r="V35" s="311" t="str">
        <f ca="1">IFERROR(__xludf.DUMMYFUNCTION("ifna(JOIN(""; "", unique(FILTER(V$52:V$153,$CF$52:$CF$153=$B35,V$52:V$153&lt;&gt;""""))),"""")"),"-")</f>
        <v>-</v>
      </c>
      <c r="W35" s="311" t="str">
        <f ca="1">IFERROR(__xludf.DUMMYFUNCTION("ifna(JOIN(""; "", unique(FILTER(W$52:W$153,$CF$52:$CF$153=$B35,W$52:W$153&lt;&gt;""""))),"""")"),"-")</f>
        <v>-</v>
      </c>
      <c r="X35" s="313" t="s">
        <v>117</v>
      </c>
      <c r="Y35" s="301">
        <f>SUMIF($BV$52:$BV$151, $C35,Y$52:Y$151)</f>
        <v>0</v>
      </c>
      <c r="Z35" s="314"/>
      <c r="AA35" s="315">
        <f>SUMIF($BV$52:$BV$151, $B35,AA$52:AA$151)</f>
        <v>-25000</v>
      </c>
      <c r="AB35" s="314"/>
      <c r="AC35" s="315">
        <f>SUMIF($BV$52:$BV$151, $B35,AC$52:AC$151)</f>
        <v>0</v>
      </c>
      <c r="AD35" s="315">
        <f>SUMIF($BV$52:$BV$151, $B35,AD$52:AD$151)</f>
        <v>0</v>
      </c>
      <c r="AE35" s="315">
        <f>SUMIF($BV$52:$BV$151, $B35,AE$52:AE$151)</f>
        <v>-25000</v>
      </c>
      <c r="AF35" s="315">
        <f>SUMIF($BV$52:$BV$151, $B35,AF$52:AF$151)</f>
        <v>0</v>
      </c>
      <c r="AG35" s="315">
        <f>SUMIF($BV$52:$BV$151, $B35,AG$52:AG$151)</f>
        <v>0</v>
      </c>
      <c r="AH35" s="315">
        <f>SUMIF($BV$52:$BV$151, $B35,AH$52:AH$151)</f>
        <v>0</v>
      </c>
      <c r="AI35" s="315">
        <f>SUMIF($BV$52:$BV$151, $B35,AI$52:AI$151)</f>
        <v>0</v>
      </c>
      <c r="AJ35" s="315">
        <f>SUMIF($BV$52:$BV$151, $B35,AJ$52:AJ$151)</f>
        <v>0</v>
      </c>
      <c r="AK35" s="315">
        <f>SUMIF($BV$52:$BV$151, $B35,AK$52:AK$151)</f>
        <v>0</v>
      </c>
      <c r="AL35" s="315">
        <f>SUMIF($BV$52:$BV$151, $B35,AL$52:AL$151)</f>
        <v>0</v>
      </c>
      <c r="AM35" s="315">
        <f>SUMIF($BV$52:$BV$151, $B35,AM$52:AM$151)</f>
        <v>0</v>
      </c>
      <c r="AN35" s="315">
        <f>SUMIF($BV$52:$BV$151, $B35,AN$52:AN$151)</f>
        <v>0</v>
      </c>
      <c r="AO35" s="315">
        <f>SUMIF($BV$52:$BV$151, $B35,AO$52:AO$151)</f>
        <v>0</v>
      </c>
      <c r="AP35" s="315">
        <f>SUMIF($BV$52:$BV$151, $B35,AP$52:AP$151)</f>
        <v>0</v>
      </c>
      <c r="AQ35" s="315">
        <f>SUMIF($BV$52:$BV$151, $B35,AQ$52:AQ$151)</f>
        <v>0</v>
      </c>
      <c r="AR35" s="315">
        <f>SUMIF($BV$52:$BV$151, $B35,AR$52:AR$151)</f>
        <v>0</v>
      </c>
      <c r="AS35" s="315">
        <f>SUMIF($BV$52:$BV$151, $B35,AS$52:AS$151)</f>
        <v>0</v>
      </c>
      <c r="AT35" s="315">
        <f>SUMIF($BV$52:$BV$151, $B35,AT$52:AT$151)</f>
        <v>0</v>
      </c>
      <c r="AU35" s="315">
        <f>SUMIF($BV$52:$BV$151, $B35,AU$52:AU$151)</f>
        <v>0</v>
      </c>
      <c r="AV35" s="315">
        <f>SUMIF($BV$52:$BV$151, $B35,AV$52:AV$151)</f>
        <v>0</v>
      </c>
      <c r="AW35" s="315">
        <f>SUMIF($BV$52:$BV$151, $B35,AW$52:AW$151)</f>
        <v>0</v>
      </c>
      <c r="AX35" s="315">
        <f>SUMIF($BV$52:$BV$151, $B35,AX$52:AX$151)</f>
        <v>0</v>
      </c>
      <c r="AY35" s="315">
        <f>SUMIF($BV$52:$BV$151, $B35,AY$52:AY$151)</f>
        <v>0</v>
      </c>
      <c r="AZ35" s="315">
        <f>SUMIF($BV$52:$BV$151, $B35,AZ$52:AZ$151)</f>
        <v>0</v>
      </c>
      <c r="BA35" s="315">
        <f>SUMIF($BV$52:$BV$151, $B35,BA$52:BA$151)</f>
        <v>0</v>
      </c>
      <c r="BB35" s="315">
        <f>SUMIF($BV$52:$BV$151, $B35,BB$52:BB$151)</f>
        <v>0</v>
      </c>
      <c r="BC35" s="315">
        <f>SUMIF($BV$52:$BV$151, $B35,BC$52:BC$151)</f>
        <v>0</v>
      </c>
      <c r="BD35" s="315">
        <f>SUMIF($BV$52:$BV$151, $B35,BD$52:BD$151)</f>
        <v>0</v>
      </c>
      <c r="BE35" s="315">
        <f>SUMIF($BV$52:$BV$151, $B35,BE$52:BE$151)</f>
        <v>0</v>
      </c>
      <c r="BF35" s="315">
        <f>SUMIF($BV$52:$BV$151, $B35,BF$52:BF$151)</f>
        <v>0</v>
      </c>
      <c r="BG35" s="315">
        <f>SUMIF($BV$52:$BV$151, $B35,BG$52:BG$151)</f>
        <v>0</v>
      </c>
      <c r="BH35" s="315">
        <f>SUMIF($BV$52:$BV$151, $B35,BH$52:BH$151)</f>
        <v>0</v>
      </c>
      <c r="BI35" s="315">
        <f>SUMIF($BV$52:$BV$151, $B35,BI$52:BI$151)</f>
        <v>0</v>
      </c>
      <c r="BJ35" s="315">
        <f>SUMIF($BV$52:$BV$151, $B35,BJ$52:BJ$151)</f>
        <v>0</v>
      </c>
      <c r="BK35" s="315">
        <f>SUMIF($BV$52:$BV$151, $B35,BK$52:BK$151)</f>
        <v>0</v>
      </c>
      <c r="BL35" s="315">
        <f>SUMIF($BV$52:$BV$151, $B35,BL$52:BL$151)</f>
        <v>0</v>
      </c>
      <c r="BM35" s="315">
        <f>SUMIF($BV$52:$BV$151, $B35,BM$52:BM$151)</f>
        <v>0</v>
      </c>
      <c r="BN35" s="315">
        <f>SUMIF($BV$52:$BV$151, $B35,BN$52:BN$151)</f>
        <v>0</v>
      </c>
      <c r="BO35" s="315">
        <f>SUMIF($BV$52:$BV$151, $B35,BO$52:BO$151)</f>
        <v>0</v>
      </c>
      <c r="BP35" s="315">
        <f>SUMIF($BV$52:$BV$151, $B35,BP$52:BP$151)</f>
        <v>0</v>
      </c>
      <c r="BQ35" s="315">
        <f>SUMIF($BV$52:$BV$151, $B35,BQ$52:BQ$151)</f>
        <v>0</v>
      </c>
      <c r="BR35" s="315">
        <f>SUMIF($BV$52:$BV$151, $B35,BR$52:BR$151)</f>
        <v>0</v>
      </c>
      <c r="BS35" s="315">
        <f>SUMIF($BV$52:$BV$151, $B35,BS$52:BS$151)</f>
        <v>0</v>
      </c>
      <c r="BT35" s="316"/>
      <c r="BU35" s="316"/>
      <c r="BV35" s="317"/>
      <c r="BW35" s="314"/>
      <c r="BX35" s="317"/>
      <c r="BY35" s="316"/>
    </row>
    <row r="36" spans="1:77" ht="4.5" customHeight="1" x14ac:dyDescent="0.15">
      <c r="A36" s="291"/>
      <c r="B36" s="318"/>
      <c r="C36" s="291"/>
      <c r="D36" s="291"/>
      <c r="E36" s="14"/>
      <c r="F36" s="319"/>
      <c r="G36" s="319"/>
      <c r="H36" s="167"/>
      <c r="I36" s="9"/>
      <c r="J36" s="320"/>
      <c r="K36" s="298"/>
      <c r="L36" s="321"/>
      <c r="M36" s="157"/>
      <c r="N36" s="298"/>
      <c r="O36" s="321"/>
      <c r="P36" s="321"/>
      <c r="Q36" s="76"/>
      <c r="R36" s="14"/>
      <c r="S36" s="1"/>
      <c r="T36" s="300"/>
      <c r="U36" s="321"/>
      <c r="V36" s="14"/>
      <c r="W36" s="1"/>
      <c r="X36" s="322"/>
      <c r="Y36" s="323"/>
      <c r="Z36" s="302"/>
      <c r="AA36" s="303"/>
      <c r="AB36" s="302"/>
      <c r="AC36" s="303"/>
      <c r="AD36" s="303"/>
      <c r="AE36" s="303"/>
      <c r="AF36" s="303"/>
      <c r="AG36" s="303"/>
      <c r="AH36" s="303"/>
      <c r="AI36" s="303"/>
      <c r="AJ36" s="303"/>
      <c r="AK36" s="303"/>
      <c r="AL36" s="303"/>
      <c r="AM36" s="303"/>
      <c r="AN36" s="303"/>
      <c r="AO36" s="303"/>
      <c r="AP36" s="303"/>
      <c r="AQ36" s="303"/>
      <c r="AR36" s="303"/>
      <c r="AS36" s="303"/>
      <c r="AT36" s="303"/>
      <c r="AU36" s="303"/>
      <c r="AV36" s="303"/>
      <c r="AW36" s="303"/>
      <c r="AX36" s="303"/>
      <c r="AY36" s="303"/>
      <c r="AZ36" s="303"/>
      <c r="BA36" s="303"/>
      <c r="BB36" s="303"/>
      <c r="BC36" s="303"/>
      <c r="BD36" s="303"/>
      <c r="BE36" s="303"/>
      <c r="BF36" s="303"/>
      <c r="BG36" s="303"/>
      <c r="BH36" s="303"/>
      <c r="BI36" s="303"/>
      <c r="BJ36" s="303"/>
      <c r="BK36" s="303"/>
      <c r="BL36" s="303"/>
      <c r="BM36" s="303"/>
      <c r="BN36" s="303"/>
      <c r="BO36" s="303"/>
      <c r="BP36" s="303"/>
      <c r="BQ36" s="303"/>
      <c r="BR36" s="303"/>
      <c r="BS36" s="303"/>
      <c r="BT36" s="1"/>
      <c r="BU36" s="1"/>
      <c r="BV36" s="14"/>
      <c r="BW36" s="302"/>
      <c r="BX36" s="14"/>
      <c r="BY36" s="1"/>
    </row>
    <row r="37" spans="1:77" ht="15" x14ac:dyDescent="0.15">
      <c r="A37" s="264"/>
      <c r="B37" s="1080" t="str">
        <f>B92</f>
        <v>Total Landscaping and Biodiversity Expenses</v>
      </c>
      <c r="C37" s="1049"/>
      <c r="D37" s="1049"/>
      <c r="E37" s="324"/>
      <c r="F37" s="325"/>
      <c r="G37" s="325"/>
      <c r="H37" s="326"/>
      <c r="I37" s="327"/>
      <c r="J37" s="328"/>
      <c r="K37" s="329"/>
      <c r="L37" s="330">
        <f>SUM(L31:L35)</f>
        <v>210197.2322</v>
      </c>
      <c r="M37" s="331"/>
      <c r="N37" s="332"/>
      <c r="O37" s="330">
        <f t="shared" ref="O37:P37" si="17">SUM(O31:O35)</f>
        <v>86367.057000000001</v>
      </c>
      <c r="P37" s="330">
        <f t="shared" si="17"/>
        <v>296564.2892</v>
      </c>
      <c r="Q37" s="333"/>
      <c r="R37" s="333"/>
      <c r="S37" s="333"/>
      <c r="T37" s="334"/>
      <c r="U37" s="330">
        <f>SUM(U31:U35)</f>
        <v>17825.939460000001</v>
      </c>
      <c r="V37" s="324"/>
      <c r="W37" s="335"/>
      <c r="X37" s="336"/>
      <c r="Y37" s="337">
        <f>SUM(Y31:Y35)</f>
        <v>16536.303</v>
      </c>
      <c r="Z37" s="267"/>
      <c r="AA37" s="338">
        <f>SUM(AA31+AA33+AA35)</f>
        <v>599567.8176826383</v>
      </c>
      <c r="AB37" s="267"/>
      <c r="AC37" s="338">
        <f t="shared" ref="AC37:BS37" si="18">AC31+AC33+AC35</f>
        <v>0</v>
      </c>
      <c r="AD37" s="338">
        <f t="shared" si="18"/>
        <v>0</v>
      </c>
      <c r="AE37" s="338">
        <f t="shared" si="18"/>
        <v>296564.2892</v>
      </c>
      <c r="AF37" s="338">
        <f t="shared" si="18"/>
        <v>18250.366589999998</v>
      </c>
      <c r="AG37" s="338">
        <f t="shared" si="18"/>
        <v>18685.404398250001</v>
      </c>
      <c r="AH37" s="338">
        <f t="shared" si="18"/>
        <v>19131.318151706248</v>
      </c>
      <c r="AI37" s="338">
        <f t="shared" si="18"/>
        <v>17773.865040023433</v>
      </c>
      <c r="AJ37" s="338">
        <f t="shared" si="18"/>
        <v>18616.015221580663</v>
      </c>
      <c r="AK37" s="338">
        <f t="shared" si="18"/>
        <v>18633.802655799613</v>
      </c>
      <c r="AL37" s="338">
        <f t="shared" si="18"/>
        <v>19079.961647194603</v>
      </c>
      <c r="AM37" s="338">
        <f t="shared" si="18"/>
        <v>19537.274613374469</v>
      </c>
      <c r="AN37" s="338">
        <f t="shared" si="18"/>
        <v>20006.020403708826</v>
      </c>
      <c r="AO37" s="338">
        <f t="shared" si="18"/>
        <v>20486.484838801553</v>
      </c>
      <c r="AP37" s="338">
        <f t="shared" si="18"/>
        <v>20978.96088477159</v>
      </c>
      <c r="AQ37" s="338">
        <f t="shared" si="18"/>
        <v>21483.74883189088</v>
      </c>
      <c r="AR37" s="338">
        <f t="shared" si="18"/>
        <v>22001.15647768815</v>
      </c>
      <c r="AS37" s="338">
        <f t="shared" si="18"/>
        <v>22531.499314630353</v>
      </c>
      <c r="AT37" s="338">
        <f t="shared" si="18"/>
        <v>23075.10072249611</v>
      </c>
      <c r="AU37" s="338">
        <f t="shared" si="18"/>
        <v>23632.292165558516</v>
      </c>
      <c r="AV37" s="338">
        <f t="shared" si="18"/>
        <v>24203.413394697473</v>
      </c>
      <c r="AW37" s="338">
        <f t="shared" si="18"/>
        <v>24788.812654564914</v>
      </c>
      <c r="AX37" s="338">
        <f t="shared" si="18"/>
        <v>25388.846895929029</v>
      </c>
      <c r="AY37" s="338">
        <f t="shared" si="18"/>
        <v>26003.881993327257</v>
      </c>
      <c r="AZ37" s="338">
        <f t="shared" si="18"/>
        <v>26634.292968160429</v>
      </c>
      <c r="BA37" s="338">
        <f t="shared" si="18"/>
        <v>27280.464217364446</v>
      </c>
      <c r="BB37" s="338">
        <f t="shared" si="18"/>
        <v>27942.789747798557</v>
      </c>
      <c r="BC37" s="338">
        <f t="shared" si="18"/>
        <v>28621.673416493519</v>
      </c>
      <c r="BD37" s="338">
        <f t="shared" si="18"/>
        <v>29317.529176905853</v>
      </c>
      <c r="BE37" s="338">
        <f t="shared" si="18"/>
        <v>30030.781331328497</v>
      </c>
      <c r="BF37" s="338">
        <f t="shared" si="18"/>
        <v>30761.864789611707</v>
      </c>
      <c r="BG37" s="338">
        <f t="shared" si="18"/>
        <v>31511.225334351999</v>
      </c>
      <c r="BH37" s="338">
        <f t="shared" si="18"/>
        <v>32279.319892710799</v>
      </c>
      <c r="BI37" s="338">
        <f t="shared" si="18"/>
        <v>33066.616815028567</v>
      </c>
      <c r="BJ37" s="338">
        <f t="shared" si="18"/>
        <v>33873.59616040429</v>
      </c>
      <c r="BK37" s="338">
        <f t="shared" si="18"/>
        <v>34700.749989414391</v>
      </c>
      <c r="BL37" s="338">
        <f t="shared" si="18"/>
        <v>35548.582664149748</v>
      </c>
      <c r="BM37" s="338">
        <f t="shared" si="18"/>
        <v>36417.611155753497</v>
      </c>
      <c r="BN37" s="338">
        <f t="shared" si="18"/>
        <v>37308.365359647316</v>
      </c>
      <c r="BO37" s="338">
        <f t="shared" si="18"/>
        <v>38221.388418638511</v>
      </c>
      <c r="BP37" s="338">
        <f t="shared" si="18"/>
        <v>39157.237054104466</v>
      </c>
      <c r="BQ37" s="338">
        <f t="shared" si="18"/>
        <v>40116.481905457069</v>
      </c>
      <c r="BR37" s="338">
        <f t="shared" si="18"/>
        <v>41099.70787809349</v>
      </c>
      <c r="BS37" s="338">
        <f t="shared" si="18"/>
        <v>42107.514500045829</v>
      </c>
      <c r="BT37" s="5"/>
      <c r="BU37" s="5"/>
      <c r="BV37" s="339"/>
      <c r="BW37" s="267"/>
      <c r="BX37" s="339"/>
      <c r="BY37" s="5"/>
    </row>
    <row r="38" spans="1:77" ht="4.5" customHeight="1" x14ac:dyDescent="0.15">
      <c r="A38" s="291"/>
      <c r="B38" s="340"/>
      <c r="C38" s="71"/>
      <c r="D38" s="71"/>
      <c r="E38" s="14"/>
      <c r="F38" s="319"/>
      <c r="G38" s="319"/>
      <c r="H38" s="167"/>
      <c r="I38" s="9"/>
      <c r="J38" s="320"/>
      <c r="K38" s="298"/>
      <c r="L38" s="321"/>
      <c r="M38" s="157"/>
      <c r="N38" s="298"/>
      <c r="O38" s="321"/>
      <c r="P38" s="321"/>
      <c r="Q38" s="76"/>
      <c r="R38" s="14"/>
      <c r="S38" s="1"/>
      <c r="T38" s="341"/>
      <c r="U38" s="321"/>
      <c r="V38" s="14"/>
      <c r="W38" s="1"/>
      <c r="X38" s="322"/>
      <c r="Y38" s="323"/>
      <c r="Z38" s="302"/>
      <c r="AA38" s="303"/>
      <c r="AB38" s="302"/>
      <c r="AC38" s="303"/>
      <c r="AD38" s="303"/>
      <c r="AE38" s="303"/>
      <c r="AF38" s="303"/>
      <c r="AG38" s="303"/>
      <c r="AH38" s="303"/>
      <c r="AI38" s="303"/>
      <c r="AJ38" s="303"/>
      <c r="AK38" s="303"/>
      <c r="AL38" s="303"/>
      <c r="AM38" s="303"/>
      <c r="AN38" s="303"/>
      <c r="AO38" s="303"/>
      <c r="AP38" s="303"/>
      <c r="AQ38" s="303"/>
      <c r="AR38" s="303"/>
      <c r="AS38" s="303"/>
      <c r="AT38" s="303"/>
      <c r="AU38" s="303"/>
      <c r="AV38" s="303"/>
      <c r="AW38" s="303"/>
      <c r="AX38" s="303"/>
      <c r="AY38" s="303"/>
      <c r="AZ38" s="303"/>
      <c r="BA38" s="303"/>
      <c r="BB38" s="303"/>
      <c r="BC38" s="303"/>
      <c r="BD38" s="303"/>
      <c r="BE38" s="303"/>
      <c r="BF38" s="303"/>
      <c r="BG38" s="303"/>
      <c r="BH38" s="303"/>
      <c r="BI38" s="303"/>
      <c r="BJ38" s="303"/>
      <c r="BK38" s="303"/>
      <c r="BL38" s="303"/>
      <c r="BM38" s="303"/>
      <c r="BN38" s="303"/>
      <c r="BO38" s="303"/>
      <c r="BP38" s="303"/>
      <c r="BQ38" s="303"/>
      <c r="BR38" s="303"/>
      <c r="BS38" s="303"/>
      <c r="BT38" s="1"/>
      <c r="BU38" s="1"/>
      <c r="BV38" s="14"/>
      <c r="BW38" s="302"/>
      <c r="BX38" s="14"/>
      <c r="BY38" s="1"/>
    </row>
    <row r="39" spans="1:77" ht="15" x14ac:dyDescent="0.15">
      <c r="A39" s="264"/>
      <c r="B39" s="1080" t="str">
        <f>B97</f>
        <v>Monitoring and Evaluation</v>
      </c>
      <c r="C39" s="1049"/>
      <c r="D39" s="1049"/>
      <c r="E39" s="324"/>
      <c r="F39" s="325"/>
      <c r="G39" s="325"/>
      <c r="H39" s="326"/>
      <c r="I39" s="324"/>
      <c r="J39" s="342"/>
      <c r="K39" s="332"/>
      <c r="L39" s="330">
        <f>SUMIF($BX$52:$BX$151, $B39,L$52:L$151)</f>
        <v>0</v>
      </c>
      <c r="M39" s="331"/>
      <c r="N39" s="332"/>
      <c r="O39" s="330">
        <f>SUMIF($BX$52:$BX$151, $B39,O$52:O$151)</f>
        <v>2050</v>
      </c>
      <c r="P39" s="330">
        <f>L39+O39</f>
        <v>2050</v>
      </c>
      <c r="Q39" s="343"/>
      <c r="R39" s="324"/>
      <c r="S39" s="335"/>
      <c r="T39" s="344"/>
      <c r="U39" s="330">
        <f>SUMIF($BX$52:$BX$151, $B39,U$52:U$151)</f>
        <v>6425</v>
      </c>
      <c r="V39" s="324"/>
      <c r="W39" s="335"/>
      <c r="X39" s="336"/>
      <c r="Y39" s="337">
        <f>SUMIF($BX$52:$BX$151, $B39,Y$52:Y$151)</f>
        <v>5525</v>
      </c>
      <c r="Z39" s="267"/>
      <c r="AA39" s="338">
        <f>SUMIF($BX$52:$BX$151, $B39,AA$52:AA$151)</f>
        <v>55852.083014744865</v>
      </c>
      <c r="AB39" s="267"/>
      <c r="AC39" s="338">
        <f>SUMIF($BX$52:$BX$151, $B39,AC$52:AC$151)</f>
        <v>4625</v>
      </c>
      <c r="AD39" s="338">
        <f>SUMIF($BX$52:$BX$151, $B39,AD$52:AD$151)</f>
        <v>0</v>
      </c>
      <c r="AE39" s="338">
        <f>SUMIF($BX$52:$BX$151, $B39,AE$52:AE$151)</f>
        <v>1800</v>
      </c>
      <c r="AF39" s="338">
        <f>SUMIF($BX$52:$BX$151, $B39,AF$52:AF$151)</f>
        <v>2095</v>
      </c>
      <c r="AG39" s="338">
        <f>SUMIF($BX$52:$BX$151, $B39,AG$52:AG$151)</f>
        <v>6737.609375</v>
      </c>
      <c r="AH39" s="338">
        <f>SUMIF($BX$52:$BX$151, $B39,AH$52:AH$151)</f>
        <v>6899.7996093749989</v>
      </c>
      <c r="AI39" s="338">
        <f>SUMIF($BX$52:$BX$151, $B39,AI$52:AI$151)</f>
        <v>6072.6129980468741</v>
      </c>
      <c r="AJ39" s="338">
        <f>SUMIF($BX$52:$BX$151, $B39,AJ$52:AJ$151)</f>
        <v>6218.1783229980447</v>
      </c>
      <c r="AK39" s="338">
        <f>SUMIF($BX$52:$BX$151, $B39,AK$52:AK$151)</f>
        <v>6367.3827810729963</v>
      </c>
      <c r="AL39" s="338">
        <f>SUMIF($BX$52:$BX$151, $B39,AL$52:AL$151)</f>
        <v>1069.8171783013913</v>
      </c>
      <c r="AM39" s="338">
        <f>SUMIF($BX$52:$BX$151, $B39,AM$52:AM$151)</f>
        <v>6677.0752843648161</v>
      </c>
      <c r="AN39" s="338">
        <f>SUMIF($BX$52:$BX$151, $B39,AN$52:AN$151)</f>
        <v>1123.976672952899</v>
      </c>
      <c r="AO39" s="338">
        <f>SUMIF($BX$52:$BX$151, $B39,AO$52:AO$151)</f>
        <v>7002.4459706357839</v>
      </c>
      <c r="AP39" s="338">
        <f>SUMIF($BX$52:$BX$151, $B39,AP$52:AP$151)</f>
        <v>1180.8779920211393</v>
      </c>
      <c r="AQ39" s="338">
        <f>SUMIF($BX$52:$BX$151, $B39,AQ$52:AQ$151)</f>
        <v>1210.3999418216679</v>
      </c>
      <c r="AR39" s="338">
        <f>SUMIF($BX$52:$BX$151, $B39,AR$52:AR$151)</f>
        <v>1240.6599403672094</v>
      </c>
      <c r="AS39" s="338">
        <f>SUMIF($BX$52:$BX$151, $B39,AS$52:AS$151)</f>
        <v>1271.6764388763895</v>
      </c>
      <c r="AT39" s="338">
        <f>SUMIF($BX$52:$BX$151, $B39,AT$52:AT$151)</f>
        <v>7889.7728282775324</v>
      </c>
      <c r="AU39" s="338">
        <f>SUMIF($BX$52:$BX$151, $B39,AU$52:AU$151)</f>
        <v>1336.0550585945068</v>
      </c>
      <c r="AV39" s="338">
        <f>SUMIF($BX$52:$BX$151, $B39,AV$52:AV$151)</f>
        <v>1369.4564350593694</v>
      </c>
      <c r="AW39" s="338">
        <f>SUMIF($BX$52:$BX$151, $B39,AW$52:AW$151)</f>
        <v>1403.6928459358535</v>
      </c>
      <c r="AX39" s="338">
        <f>SUMIF($BX$52:$BX$151, $B39,AX$52:AX$151)</f>
        <v>1438.7851670842499</v>
      </c>
      <c r="AY39" s="338">
        <f>SUMIF($BX$52:$BX$151, $B39,AY$52:AY$151)</f>
        <v>8893.7017225318359</v>
      </c>
      <c r="AZ39" s="338">
        <f>SUMIF($BX$52:$BX$151, $B39,AZ$52:AZ$151)</f>
        <v>1511.6236661678897</v>
      </c>
      <c r="BA39" s="338">
        <f>SUMIF($BX$52:$BX$151, $B39,BA$52:BA$151)</f>
        <v>1549.4142578220869</v>
      </c>
      <c r="BB39" s="338">
        <f>SUMIF($BX$52:$BX$151, $B39,BB$52:BB$151)</f>
        <v>1588.1496142676392</v>
      </c>
      <c r="BC39" s="338">
        <f>SUMIF($BX$52:$BX$151, $B39,BC$52:BC$151)</f>
        <v>1627.85335462433</v>
      </c>
      <c r="BD39" s="338">
        <f>SUMIF($BX$52:$BX$151, $B39,BD$52:BD$151)</f>
        <v>10029.555118649359</v>
      </c>
      <c r="BE39" s="338">
        <f>SUMIF($BX$52:$BX$151, $B39,BE$52:BE$151)</f>
        <v>1710.2634307021863</v>
      </c>
      <c r="BF39" s="338">
        <f>SUMIF($BX$52:$BX$151, $B39,BF$52:BF$151)</f>
        <v>1753.020016469741</v>
      </c>
      <c r="BG39" s="338">
        <f>SUMIF($BX$52:$BX$151, $B39,BG$52:BG$151)</f>
        <v>1796.8455168814844</v>
      </c>
      <c r="BH39" s="338">
        <f>SUMIF($BX$52:$BX$151, $B39,BH$52:BH$151)</f>
        <v>1841.7666548035215</v>
      </c>
      <c r="BI39" s="338">
        <f>SUMIF($BX$52:$BX$151, $B39,BI$52:BI$151)</f>
        <v>11314.668979656431</v>
      </c>
      <c r="BJ39" s="338">
        <f>SUMIF($BX$52:$BX$151, $B39,BJ$52:BJ$151)</f>
        <v>1935.00609170295</v>
      </c>
      <c r="BK39" s="338">
        <f>SUMIF($BX$52:$BX$151, $B39,BK$52:BK$151)</f>
        <v>1983.3812439955234</v>
      </c>
      <c r="BL39" s="338">
        <f>SUMIF($BX$52:$BX$151, $B39,BL$52:BL$151)</f>
        <v>2032.9657750954113</v>
      </c>
      <c r="BM39" s="338">
        <f>SUMIF($BX$52:$BX$151, $B39,BM$52:BM$151)</f>
        <v>2083.7899194727966</v>
      </c>
      <c r="BN39" s="338">
        <f>SUMIF($BX$52:$BX$151, $B39,BN$52:BN$151)</f>
        <v>12768.657356499418</v>
      </c>
      <c r="BO39" s="338">
        <f>SUMIF($BX$52:$BX$151, $B39,BO$52:BO$151)</f>
        <v>2189.2817841461069</v>
      </c>
      <c r="BP39" s="338">
        <f>SUMIF($BX$52:$BX$151, $B39,BP$52:BP$151)</f>
        <v>2244.0138287497593</v>
      </c>
      <c r="BQ39" s="338">
        <f>SUMIF($BX$52:$BX$151, $B39,BQ$52:BQ$151)</f>
        <v>2300.1141744685028</v>
      </c>
      <c r="BR39" s="338">
        <f>SUMIF($BX$52:$BX$151, $B39,BR$52:BR$151)</f>
        <v>2357.6170288302155</v>
      </c>
      <c r="BS39" s="338">
        <f>SUMIF($BX$52:$BX$151, $B39,BS$52:BS$151)</f>
        <v>14413.711747507077</v>
      </c>
      <c r="BT39" s="5"/>
      <c r="BU39" s="5"/>
      <c r="BV39" s="339"/>
      <c r="BW39" s="267"/>
      <c r="BX39" s="339"/>
      <c r="BY39" s="5"/>
    </row>
    <row r="40" spans="1:77" ht="6" customHeight="1" x14ac:dyDescent="0.15">
      <c r="A40" s="291"/>
      <c r="B40" s="340"/>
      <c r="C40" s="71"/>
      <c r="D40" s="71"/>
      <c r="E40" s="14"/>
      <c r="F40" s="319"/>
      <c r="G40" s="319"/>
      <c r="H40" s="167"/>
      <c r="I40" s="9"/>
      <c r="J40" s="320"/>
      <c r="K40" s="298"/>
      <c r="L40" s="321"/>
      <c r="M40" s="157"/>
      <c r="N40" s="298"/>
      <c r="O40" s="321"/>
      <c r="P40" s="321"/>
      <c r="Q40" s="76"/>
      <c r="R40" s="14"/>
      <c r="S40" s="1"/>
      <c r="T40" s="341"/>
      <c r="U40" s="321"/>
      <c r="V40" s="14"/>
      <c r="W40" s="1"/>
      <c r="X40" s="322"/>
      <c r="Y40" s="323"/>
      <c r="Z40" s="302"/>
      <c r="AA40" s="303"/>
      <c r="AB40" s="302"/>
      <c r="AC40" s="303"/>
      <c r="AD40" s="303"/>
      <c r="AE40" s="303"/>
      <c r="AF40" s="303"/>
      <c r="AG40" s="303"/>
      <c r="AH40" s="303"/>
      <c r="AI40" s="303"/>
      <c r="AJ40" s="303"/>
      <c r="AK40" s="303"/>
      <c r="AL40" s="303"/>
      <c r="AM40" s="303"/>
      <c r="AN40" s="303"/>
      <c r="AO40" s="303"/>
      <c r="AP40" s="303"/>
      <c r="AQ40" s="303"/>
      <c r="AR40" s="303"/>
      <c r="AS40" s="303"/>
      <c r="AT40" s="303"/>
      <c r="AU40" s="303"/>
      <c r="AV40" s="303"/>
      <c r="AW40" s="303"/>
      <c r="AX40" s="303"/>
      <c r="AY40" s="303"/>
      <c r="AZ40" s="303"/>
      <c r="BA40" s="303"/>
      <c r="BB40" s="303"/>
      <c r="BC40" s="303"/>
      <c r="BD40" s="303"/>
      <c r="BE40" s="303"/>
      <c r="BF40" s="303"/>
      <c r="BG40" s="303"/>
      <c r="BH40" s="303"/>
      <c r="BI40" s="303"/>
      <c r="BJ40" s="303"/>
      <c r="BK40" s="303"/>
      <c r="BL40" s="303"/>
      <c r="BM40" s="303"/>
      <c r="BN40" s="303"/>
      <c r="BO40" s="303"/>
      <c r="BP40" s="303"/>
      <c r="BQ40" s="303"/>
      <c r="BR40" s="303"/>
      <c r="BS40" s="303"/>
      <c r="BT40" s="1"/>
      <c r="BU40" s="1"/>
      <c r="BV40" s="14"/>
      <c r="BW40" s="302"/>
      <c r="BX40" s="14"/>
      <c r="BY40" s="1"/>
    </row>
    <row r="41" spans="1:77" ht="15" x14ac:dyDescent="0.15">
      <c r="A41" s="291"/>
      <c r="B41" s="1082" t="str">
        <f>B107</f>
        <v>Total Implementation and Maintenance Expenses</v>
      </c>
      <c r="C41" s="1049"/>
      <c r="D41" s="1049"/>
      <c r="E41" s="942"/>
      <c r="F41" s="943"/>
      <c r="G41" s="943"/>
      <c r="H41" s="944"/>
      <c r="I41" s="945"/>
      <c r="J41" s="946"/>
      <c r="K41" s="947"/>
      <c r="L41" s="948">
        <f>L37+L39</f>
        <v>210197.2322</v>
      </c>
      <c r="M41" s="949" t="s">
        <v>51</v>
      </c>
      <c r="N41" s="947"/>
      <c r="O41" s="948">
        <f t="shared" ref="O41:P41" si="19">O37+O39</f>
        <v>88417.057000000001</v>
      </c>
      <c r="P41" s="948">
        <f t="shared" si="19"/>
        <v>298614.2892</v>
      </c>
      <c r="Q41" s="1083" t="s">
        <v>52</v>
      </c>
      <c r="R41" s="1049"/>
      <c r="S41" s="1049"/>
      <c r="T41" s="1049"/>
      <c r="U41" s="948">
        <f>U37+U39</f>
        <v>24250.939460000001</v>
      </c>
      <c r="V41" s="942"/>
      <c r="W41" s="950"/>
      <c r="X41" s="951"/>
      <c r="Y41" s="952">
        <f>Y37+Y39</f>
        <v>22061.303</v>
      </c>
      <c r="Z41" s="345"/>
      <c r="AA41" s="953">
        <f>AA37+AA39</f>
        <v>655419.90069738321</v>
      </c>
      <c r="AB41" s="345"/>
      <c r="AC41" s="953">
        <f t="shared" ref="AC41:BS41" si="20">AC37+AC39</f>
        <v>4625</v>
      </c>
      <c r="AD41" s="953">
        <f t="shared" si="20"/>
        <v>0</v>
      </c>
      <c r="AE41" s="953">
        <f t="shared" si="20"/>
        <v>298364.2892</v>
      </c>
      <c r="AF41" s="953">
        <f t="shared" si="20"/>
        <v>20345.366589999998</v>
      </c>
      <c r="AG41" s="953">
        <f t="shared" si="20"/>
        <v>25423.013773250001</v>
      </c>
      <c r="AH41" s="953">
        <f t="shared" si="20"/>
        <v>26031.117761081245</v>
      </c>
      <c r="AI41" s="953">
        <f t="shared" si="20"/>
        <v>23846.478038070309</v>
      </c>
      <c r="AJ41" s="953">
        <f t="shared" si="20"/>
        <v>24834.193544578709</v>
      </c>
      <c r="AK41" s="953">
        <f t="shared" si="20"/>
        <v>25001.185436872609</v>
      </c>
      <c r="AL41" s="953">
        <f t="shared" si="20"/>
        <v>20149.778825495996</v>
      </c>
      <c r="AM41" s="953">
        <f t="shared" si="20"/>
        <v>26214.349897739285</v>
      </c>
      <c r="AN41" s="953">
        <f t="shared" si="20"/>
        <v>21129.997076661726</v>
      </c>
      <c r="AO41" s="953">
        <f t="shared" si="20"/>
        <v>27488.930809437337</v>
      </c>
      <c r="AP41" s="953">
        <f t="shared" si="20"/>
        <v>22159.838876792728</v>
      </c>
      <c r="AQ41" s="953">
        <f t="shared" si="20"/>
        <v>22694.148773712546</v>
      </c>
      <c r="AR41" s="953">
        <f t="shared" si="20"/>
        <v>23241.816418055358</v>
      </c>
      <c r="AS41" s="953">
        <f t="shared" si="20"/>
        <v>23803.175753506745</v>
      </c>
      <c r="AT41" s="953">
        <f t="shared" si="20"/>
        <v>30964.873550773642</v>
      </c>
      <c r="AU41" s="953">
        <f t="shared" si="20"/>
        <v>24968.347224153022</v>
      </c>
      <c r="AV41" s="953">
        <f t="shared" si="20"/>
        <v>25572.869829756841</v>
      </c>
      <c r="AW41" s="953">
        <f t="shared" si="20"/>
        <v>26192.505500500767</v>
      </c>
      <c r="AX41" s="953">
        <f t="shared" si="20"/>
        <v>26827.63206301328</v>
      </c>
      <c r="AY41" s="953">
        <f t="shared" si="20"/>
        <v>34897.583715859095</v>
      </c>
      <c r="AZ41" s="953">
        <f t="shared" si="20"/>
        <v>28145.916634328318</v>
      </c>
      <c r="BA41" s="953">
        <f t="shared" si="20"/>
        <v>28829.878475186531</v>
      </c>
      <c r="BB41" s="953">
        <f t="shared" si="20"/>
        <v>29530.939362066198</v>
      </c>
      <c r="BC41" s="953">
        <f t="shared" si="20"/>
        <v>30249.526771117849</v>
      </c>
      <c r="BD41" s="953">
        <f t="shared" si="20"/>
        <v>39347.084295555214</v>
      </c>
      <c r="BE41" s="953">
        <f t="shared" si="20"/>
        <v>31741.044762030684</v>
      </c>
      <c r="BF41" s="953">
        <f t="shared" si="20"/>
        <v>32514.884806081449</v>
      </c>
      <c r="BG41" s="953">
        <f t="shared" si="20"/>
        <v>33308.070851233482</v>
      </c>
      <c r="BH41" s="953">
        <f t="shared" si="20"/>
        <v>34121.086547514322</v>
      </c>
      <c r="BI41" s="953">
        <f t="shared" si="20"/>
        <v>44381.285794684998</v>
      </c>
      <c r="BJ41" s="953">
        <f t="shared" si="20"/>
        <v>35808.602252107237</v>
      </c>
      <c r="BK41" s="953">
        <f t="shared" si="20"/>
        <v>36684.131233409913</v>
      </c>
      <c r="BL41" s="953">
        <f t="shared" si="20"/>
        <v>37581.548439245162</v>
      </c>
      <c r="BM41" s="953">
        <f t="shared" si="20"/>
        <v>38501.401075226291</v>
      </c>
      <c r="BN41" s="953">
        <f t="shared" si="20"/>
        <v>50077.022716146734</v>
      </c>
      <c r="BO41" s="953">
        <f t="shared" si="20"/>
        <v>40410.670202784619</v>
      </c>
      <c r="BP41" s="953">
        <f t="shared" si="20"/>
        <v>41401.250882854227</v>
      </c>
      <c r="BQ41" s="953">
        <f t="shared" si="20"/>
        <v>42416.59607992557</v>
      </c>
      <c r="BR41" s="953">
        <f t="shared" si="20"/>
        <v>43457.324906923706</v>
      </c>
      <c r="BS41" s="953">
        <f t="shared" si="20"/>
        <v>56521.226247552906</v>
      </c>
      <c r="BT41" s="346"/>
      <c r="BU41" s="346"/>
      <c r="BV41" s="954"/>
      <c r="BW41" s="345"/>
      <c r="BX41" s="954"/>
      <c r="BY41" s="346"/>
    </row>
    <row r="42" spans="1:77" ht="6" customHeight="1" x14ac:dyDescent="0.15">
      <c r="A42" s="1"/>
      <c r="B42" s="347"/>
      <c r="C42" s="348"/>
      <c r="D42" s="349"/>
      <c r="E42" s="349"/>
      <c r="F42" s="349"/>
      <c r="G42" s="349"/>
      <c r="H42" s="350"/>
      <c r="I42" s="348"/>
      <c r="J42" s="351"/>
      <c r="K42" s="349"/>
      <c r="L42" s="352"/>
      <c r="M42" s="349"/>
      <c r="N42" s="349"/>
      <c r="O42" s="349"/>
      <c r="P42" s="353"/>
      <c r="Q42" s="349"/>
      <c r="R42" s="349"/>
      <c r="S42" s="349"/>
      <c r="T42" s="349"/>
      <c r="U42" s="352"/>
      <c r="V42" s="348"/>
      <c r="W42" s="349"/>
      <c r="X42" s="354"/>
      <c r="Y42" s="355"/>
      <c r="Z42" s="302"/>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76"/>
      <c r="BW42" s="1"/>
      <c r="BX42" s="76"/>
      <c r="BY42" s="1"/>
    </row>
    <row r="43" spans="1:77" ht="15" x14ac:dyDescent="0.15">
      <c r="A43" s="1"/>
      <c r="B43" s="76"/>
      <c r="C43" s="76"/>
      <c r="D43" s="1"/>
      <c r="E43" s="1"/>
      <c r="F43" s="1"/>
      <c r="G43" s="1"/>
      <c r="H43" s="72"/>
      <c r="I43" s="76"/>
      <c r="J43" s="73"/>
      <c r="K43" s="1"/>
      <c r="L43" s="74"/>
      <c r="M43" s="1"/>
      <c r="N43" s="1"/>
      <c r="O43" s="1"/>
      <c r="P43" s="356"/>
      <c r="Q43" s="1"/>
      <c r="R43" s="1"/>
      <c r="S43" s="1"/>
      <c r="T43" s="1"/>
      <c r="U43" s="74"/>
      <c r="V43" s="76"/>
      <c r="W43" s="1"/>
      <c r="X43" s="322"/>
      <c r="Y43" s="356"/>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76"/>
      <c r="BW43" s="1"/>
      <c r="BX43" s="76"/>
      <c r="BY43" s="1"/>
    </row>
    <row r="44" spans="1:77" ht="15" x14ac:dyDescent="0.15">
      <c r="A44" s="1"/>
      <c r="B44" s="76"/>
      <c r="C44" s="76"/>
      <c r="D44" s="1"/>
      <c r="E44" s="1"/>
      <c r="F44" s="1"/>
      <c r="G44" s="1"/>
      <c r="H44" s="72"/>
      <c r="I44" s="76"/>
      <c r="J44" s="73"/>
      <c r="K44" s="1"/>
      <c r="L44" s="74"/>
      <c r="M44" s="1"/>
      <c r="N44" s="1"/>
      <c r="O44" s="1"/>
      <c r="P44" s="356"/>
      <c r="Q44" s="1"/>
      <c r="R44" s="1"/>
      <c r="S44" s="1"/>
      <c r="T44" s="1"/>
      <c r="U44" s="74"/>
      <c r="V44" s="76"/>
      <c r="W44" s="1"/>
      <c r="X44" s="322"/>
      <c r="Y44" s="356"/>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76"/>
      <c r="BW44" s="1"/>
      <c r="BX44" s="76"/>
      <c r="BY44" s="1"/>
    </row>
    <row r="45" spans="1:77" ht="15" x14ac:dyDescent="0.15">
      <c r="A45" s="77"/>
      <c r="B45" s="76"/>
      <c r="C45" s="82"/>
      <c r="D45" s="77"/>
      <c r="E45" s="77"/>
      <c r="F45" s="78"/>
      <c r="G45" s="78"/>
      <c r="H45" s="79"/>
      <c r="I45" s="357"/>
      <c r="J45" s="80"/>
      <c r="K45" s="78"/>
      <c r="L45" s="81"/>
      <c r="M45" s="78"/>
      <c r="N45" s="78"/>
      <c r="O45" s="81"/>
      <c r="P45" s="358"/>
      <c r="Q45" s="78"/>
      <c r="R45" s="78"/>
      <c r="S45" s="78"/>
      <c r="T45" s="78"/>
      <c r="U45" s="81"/>
      <c r="V45" s="357"/>
      <c r="W45" s="78"/>
      <c r="X45" s="359"/>
      <c r="Y45" s="358"/>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7"/>
      <c r="BM45" s="77"/>
      <c r="BN45" s="77"/>
      <c r="BO45" s="77"/>
      <c r="BP45" s="77"/>
      <c r="BQ45" s="77"/>
      <c r="BR45" s="77"/>
      <c r="BS45" s="77"/>
      <c r="BT45" s="77"/>
      <c r="BU45" s="77"/>
      <c r="BV45" s="82"/>
      <c r="BW45" s="77"/>
      <c r="BX45" s="82"/>
      <c r="BY45" s="77"/>
    </row>
    <row r="46" spans="1:77" ht="15" x14ac:dyDescent="0.15">
      <c r="A46" s="1"/>
      <c r="B46" s="76"/>
      <c r="C46" s="76"/>
      <c r="D46" s="1"/>
      <c r="E46" s="1"/>
      <c r="F46" s="1"/>
      <c r="G46" s="1"/>
      <c r="H46" s="72"/>
      <c r="I46" s="76"/>
      <c r="J46" s="73"/>
      <c r="K46" s="1"/>
      <c r="L46" s="74"/>
      <c r="M46" s="1"/>
      <c r="N46" s="1"/>
      <c r="O46" s="74"/>
      <c r="P46" s="356"/>
      <c r="Q46" s="1"/>
      <c r="R46" s="1"/>
      <c r="S46" s="1"/>
      <c r="T46" s="1"/>
      <c r="U46" s="74"/>
      <c r="V46" s="76"/>
      <c r="W46" s="1"/>
      <c r="X46" s="322"/>
      <c r="Y46" s="356"/>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76"/>
      <c r="BW46" s="1"/>
      <c r="BX46" s="76"/>
      <c r="BY46" s="1"/>
    </row>
    <row r="47" spans="1:77" ht="15" x14ac:dyDescent="0.15">
      <c r="A47" s="1"/>
      <c r="B47" s="76"/>
      <c r="C47" s="76"/>
      <c r="D47" s="1"/>
      <c r="E47" s="1"/>
      <c r="F47" s="1"/>
      <c r="G47" s="1"/>
      <c r="H47" s="72"/>
      <c r="I47" s="76"/>
      <c r="J47" s="73"/>
      <c r="K47" s="1"/>
      <c r="L47" s="74"/>
      <c r="M47" s="1"/>
      <c r="N47" s="1"/>
      <c r="O47" s="74"/>
      <c r="P47" s="356"/>
      <c r="Q47" s="1"/>
      <c r="R47" s="1"/>
      <c r="S47" s="1"/>
      <c r="T47" s="1"/>
      <c r="U47" s="74"/>
      <c r="V47" s="76"/>
      <c r="W47" s="1"/>
      <c r="X47" s="322"/>
      <c r="Y47" s="356"/>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76"/>
      <c r="BW47" s="1"/>
      <c r="BX47" s="76"/>
      <c r="BY47" s="1"/>
    </row>
    <row r="48" spans="1:77" ht="15" x14ac:dyDescent="0.15">
      <c r="A48" s="209"/>
      <c r="B48" s="1065" t="s">
        <v>54</v>
      </c>
      <c r="C48" s="1049"/>
      <c r="D48" s="918"/>
      <c r="E48" s="918"/>
      <c r="F48" s="919"/>
      <c r="G48" s="920"/>
      <c r="H48" s="921"/>
      <c r="I48" s="918"/>
      <c r="J48" s="922"/>
      <c r="K48" s="923"/>
      <c r="L48" s="924"/>
      <c r="M48" s="918"/>
      <c r="N48" s="923"/>
      <c r="O48" s="924"/>
      <c r="P48" s="924"/>
      <c r="Q48" s="925"/>
      <c r="R48" s="918"/>
      <c r="S48" s="918"/>
      <c r="T48" s="926"/>
      <c r="U48" s="924"/>
      <c r="V48" s="918"/>
      <c r="W48" s="918"/>
      <c r="X48" s="927"/>
      <c r="Y48" s="924"/>
      <c r="Z48" s="926"/>
      <c r="AA48" s="926"/>
      <c r="AB48" s="926"/>
      <c r="AC48" s="926"/>
      <c r="AD48" s="926"/>
      <c r="AE48" s="926"/>
      <c r="AF48" s="926"/>
      <c r="AG48" s="926"/>
      <c r="AH48" s="926"/>
      <c r="AI48" s="926"/>
      <c r="AJ48" s="926"/>
      <c r="AK48" s="926"/>
      <c r="AL48" s="926"/>
      <c r="AM48" s="926"/>
      <c r="AN48" s="926"/>
      <c r="AO48" s="926"/>
      <c r="AP48" s="926"/>
      <c r="AQ48" s="926"/>
      <c r="AR48" s="926"/>
      <c r="AS48" s="926"/>
      <c r="AT48" s="926"/>
      <c r="AU48" s="926"/>
      <c r="AV48" s="926"/>
      <c r="AW48" s="926"/>
      <c r="AX48" s="926"/>
      <c r="AY48" s="926"/>
      <c r="AZ48" s="926"/>
      <c r="BA48" s="926"/>
      <c r="BB48" s="926"/>
      <c r="BC48" s="926"/>
      <c r="BD48" s="926"/>
      <c r="BE48" s="926"/>
      <c r="BF48" s="926"/>
      <c r="BG48" s="926"/>
      <c r="BH48" s="926"/>
      <c r="BI48" s="926"/>
      <c r="BJ48" s="926"/>
      <c r="BK48" s="926"/>
      <c r="BL48" s="926"/>
      <c r="BM48" s="926"/>
      <c r="BN48" s="926"/>
      <c r="BO48" s="926"/>
      <c r="BP48" s="926"/>
      <c r="BQ48" s="926"/>
      <c r="BR48" s="926"/>
      <c r="BS48" s="926"/>
      <c r="BT48" s="926"/>
      <c r="BU48" s="928"/>
      <c r="BV48" s="926"/>
      <c r="BW48" s="928"/>
      <c r="BX48" s="926"/>
      <c r="BY48" s="928"/>
    </row>
    <row r="49" spans="1:77" ht="6.75" customHeight="1" x14ac:dyDescent="0.15">
      <c r="A49" s="14"/>
      <c r="B49" s="14"/>
      <c r="C49" s="14"/>
      <c r="D49" s="14"/>
      <c r="E49" s="14"/>
      <c r="F49" s="101"/>
      <c r="G49" s="113"/>
      <c r="H49" s="72"/>
      <c r="I49" s="14"/>
      <c r="J49" s="320"/>
      <c r="K49" s="298"/>
      <c r="L49" s="360"/>
      <c r="M49" s="14"/>
      <c r="N49" s="298"/>
      <c r="O49" s="360"/>
      <c r="P49" s="361"/>
      <c r="Q49" s="76"/>
      <c r="R49" s="14"/>
      <c r="S49" s="14"/>
      <c r="T49" s="362"/>
      <c r="U49" s="361"/>
      <c r="V49" s="14"/>
      <c r="W49" s="14"/>
      <c r="X49" s="363"/>
      <c r="Y49" s="361"/>
      <c r="Z49" s="1"/>
      <c r="AA49" s="74"/>
      <c r="AB49" s="1"/>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64"/>
      <c r="BK49" s="364"/>
      <c r="BL49" s="364"/>
      <c r="BM49" s="364"/>
      <c r="BN49" s="364"/>
      <c r="BO49" s="364"/>
      <c r="BP49" s="364"/>
      <c r="BQ49" s="364"/>
      <c r="BR49" s="364"/>
      <c r="BS49" s="364"/>
      <c r="BT49" s="1"/>
      <c r="BU49" s="14"/>
      <c r="BV49" s="76"/>
      <c r="BW49" s="14"/>
      <c r="BX49" s="76"/>
      <c r="BY49" s="14"/>
    </row>
    <row r="50" spans="1:77" ht="15" x14ac:dyDescent="0.15">
      <c r="A50" s="291"/>
      <c r="B50" s="1084" t="s">
        <v>118</v>
      </c>
      <c r="C50" s="1049"/>
      <c r="D50" s="365"/>
      <c r="E50" s="365"/>
      <c r="F50" s="366"/>
      <c r="G50" s="367"/>
      <c r="H50" s="368"/>
      <c r="I50" s="365"/>
      <c r="J50" s="369"/>
      <c r="K50" s="370"/>
      <c r="L50" s="371"/>
      <c r="M50" s="365"/>
      <c r="N50" s="370"/>
      <c r="O50" s="371"/>
      <c r="P50" s="372"/>
      <c r="Q50" s="373"/>
      <c r="R50" s="365"/>
      <c r="S50" s="365"/>
      <c r="T50" s="374"/>
      <c r="U50" s="372"/>
      <c r="V50" s="365"/>
      <c r="W50" s="365"/>
      <c r="X50" s="375"/>
      <c r="Y50" s="372"/>
      <c r="Z50" s="376"/>
      <c r="AA50" s="377"/>
      <c r="AB50" s="376"/>
      <c r="AC50" s="378"/>
      <c r="AD50" s="378"/>
      <c r="AE50" s="378"/>
      <c r="AF50" s="378"/>
      <c r="AG50" s="378"/>
      <c r="AH50" s="378"/>
      <c r="AI50" s="378"/>
      <c r="AJ50" s="378"/>
      <c r="AK50" s="378"/>
      <c r="AL50" s="378"/>
      <c r="AM50" s="378"/>
      <c r="AN50" s="378"/>
      <c r="AO50" s="378"/>
      <c r="AP50" s="378"/>
      <c r="AQ50" s="378"/>
      <c r="AR50" s="378"/>
      <c r="AS50" s="378"/>
      <c r="AT50" s="378"/>
      <c r="AU50" s="378"/>
      <c r="AV50" s="378"/>
      <c r="AW50" s="378"/>
      <c r="AX50" s="378"/>
      <c r="AY50" s="378"/>
      <c r="AZ50" s="378"/>
      <c r="BA50" s="378"/>
      <c r="BB50" s="378"/>
      <c r="BC50" s="378"/>
      <c r="BD50" s="378"/>
      <c r="BE50" s="378"/>
      <c r="BF50" s="378"/>
      <c r="BG50" s="378"/>
      <c r="BH50" s="378"/>
      <c r="BI50" s="378"/>
      <c r="BJ50" s="378"/>
      <c r="BK50" s="378"/>
      <c r="BL50" s="378"/>
      <c r="BM50" s="378"/>
      <c r="BN50" s="378"/>
      <c r="BO50" s="378"/>
      <c r="BP50" s="378"/>
      <c r="BQ50" s="378"/>
      <c r="BR50" s="378"/>
      <c r="BS50" s="378"/>
      <c r="BT50" s="376"/>
      <c r="BU50" s="365"/>
      <c r="BV50" s="373"/>
      <c r="BW50" s="365"/>
      <c r="BX50" s="373"/>
      <c r="BY50" s="14"/>
    </row>
    <row r="51" spans="1:77" ht="6.75" customHeight="1" x14ac:dyDescent="0.15">
      <c r="A51" s="14"/>
      <c r="B51" s="14"/>
      <c r="C51" s="14"/>
      <c r="D51" s="14"/>
      <c r="E51" s="14"/>
      <c r="F51" s="101"/>
      <c r="G51" s="379"/>
      <c r="H51" s="72"/>
      <c r="I51" s="14"/>
      <c r="J51" s="320"/>
      <c r="K51" s="298"/>
      <c r="L51" s="360"/>
      <c r="M51" s="14"/>
      <c r="N51" s="298"/>
      <c r="O51" s="360"/>
      <c r="P51" s="361"/>
      <c r="Q51" s="76"/>
      <c r="R51" s="14"/>
      <c r="S51" s="14"/>
      <c r="T51" s="362"/>
      <c r="U51" s="361"/>
      <c r="V51" s="14"/>
      <c r="W51" s="14"/>
      <c r="X51" s="363"/>
      <c r="Y51" s="361"/>
      <c r="Z51" s="1"/>
      <c r="AA51" s="74"/>
      <c r="AB51" s="1"/>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1"/>
      <c r="BU51" s="14"/>
      <c r="BV51" s="76"/>
      <c r="BW51" s="14"/>
      <c r="BX51" s="76"/>
      <c r="BY51" s="14"/>
    </row>
    <row r="52" spans="1:77" ht="48" x14ac:dyDescent="0.2">
      <c r="A52" s="14"/>
      <c r="B52" s="1096" t="s">
        <v>33</v>
      </c>
      <c r="C52" s="1100" t="s">
        <v>111</v>
      </c>
      <c r="D52" s="955" t="s">
        <v>55</v>
      </c>
      <c r="E52" s="380" t="s">
        <v>56</v>
      </c>
      <c r="F52" s="381">
        <v>61</v>
      </c>
      <c r="G52" s="382"/>
      <c r="H52" s="383"/>
      <c r="I52" s="84" t="s">
        <v>57</v>
      </c>
      <c r="J52" s="86" t="s">
        <v>58</v>
      </c>
      <c r="K52" s="384">
        <f>40*60</f>
        <v>2400</v>
      </c>
      <c r="L52" s="385">
        <f t="shared" ref="L52:L71" si="21">IF(OR($F52&gt;0,$G52&gt;0,$H52&gt;0),MAX($F52:$H52)*K52,0)</f>
        <v>146400</v>
      </c>
      <c r="M52" s="84" t="s">
        <v>167</v>
      </c>
      <c r="N52" s="386">
        <v>800</v>
      </c>
      <c r="O52" s="385">
        <f t="shared" ref="O52:O81" si="22">IF(OR($F52&gt;0,$G52&gt;0,$H52&gt;0),MAX($F52:$H52)*N52,0)</f>
        <v>48800</v>
      </c>
      <c r="P52" s="87">
        <f t="shared" ref="P52:P84" si="23">L52+O52</f>
        <v>195200</v>
      </c>
      <c r="Q52" s="387" t="s">
        <v>117</v>
      </c>
      <c r="R52" s="85" t="s">
        <v>119</v>
      </c>
      <c r="S52" s="388">
        <v>3</v>
      </c>
      <c r="T52" s="389">
        <v>75</v>
      </c>
      <c r="U52" s="87">
        <f t="shared" ref="U52:U58" si="24">F52*S52*T52</f>
        <v>13725</v>
      </c>
      <c r="V52" s="84" t="s">
        <v>60</v>
      </c>
      <c r="W52" s="390">
        <v>1</v>
      </c>
      <c r="X52" s="391">
        <v>200</v>
      </c>
      <c r="Y52" s="956">
        <f t="shared" ref="Y52:Y58" si="25">IF(OR($F52&gt;0,$G52&gt;0,$H52&gt;0),(MAX($F52:$H52)*W52*X52),0)</f>
        <v>12200</v>
      </c>
      <c r="Z52" s="1"/>
      <c r="AA52" s="88">
        <f>NPV($C$136,AF52:BS52)+AE52</f>
        <v>427461.6098491571</v>
      </c>
      <c r="AB52" s="1"/>
      <c r="AC52" s="392"/>
      <c r="AD52" s="392"/>
      <c r="AE52" s="149">
        <f>IF(AE$4=0,$P52,IF(AE$4&lt;4,$U52*(1+$C$137)^AE$4,IF(AE$4&gt;3,$Y52*(1+$C$137)^AE$4)))</f>
        <v>195200</v>
      </c>
      <c r="AF52" s="149">
        <f>IF(AF$4=0,$P52,IF(AF$4&lt;4,$U52*(1+$C$137)^AF$4,IF(AF$4&gt;3,$Y52*(1+$C$137)^AF$4)))</f>
        <v>14068.124999999998</v>
      </c>
      <c r="AG52" s="149">
        <f>IF(AG$4=0,$P52,IF(AG$4&lt;4,$U52*(1+$C$137)^AG$4,IF(AG$4&gt;3,$Y52*(1+$C$137)^AG$4)))</f>
        <v>14419.828124999998</v>
      </c>
      <c r="AH52" s="149">
        <f>IF(AH$4=0,$P52,IF(AH$4&lt;4,$U52*(1+$C$137)^AH$4,IF(AH$4&gt;3,$Y52*(1+$C$137)^AH$4)))</f>
        <v>14780.323828124998</v>
      </c>
      <c r="AI52" s="149">
        <f>IF(AI$4=0,$P52,IF(AI$4&lt;4,$U52*(1+$C$137)^AI$4,IF(AI$4&gt;3,$Y52*(1+$C$137)^AI$4)))</f>
        <v>13466.517265624998</v>
      </c>
      <c r="AJ52" s="149">
        <f>IF(AJ$4=0,$P52,IF(AJ$4&lt;4,$U52*(1+$C$137)^AJ$4,IF(AJ$4&gt;3,$Y52*(1+$C$137)^AJ$4)))</f>
        <v>13803.180197265621</v>
      </c>
      <c r="AK52" s="149">
        <f>IF(AK$4=0,$P52,IF(AK$4&lt;4,$U52*(1+$C$137)^AK$4,IF(AK$4&gt;3,$Y52*(1+$C$137)^AK$4)))</f>
        <v>14148.25970219726</v>
      </c>
      <c r="AL52" s="149">
        <f>IF(AL$4=0,$P52,IF(AL$4&lt;4,$U52*(1+$C$137)^AL$4,IF(AL$4&gt;3,$Y52*(1+$C$137)^AL$4)))</f>
        <v>14501.966194752193</v>
      </c>
      <c r="AM52" s="149">
        <f>IF(AM$4=0,$P52,IF(AM$4&lt;4,$U52*(1+$C$137)^AM$4,IF(AM$4&gt;3,$Y52*(1+$C$137)^AM$4)))</f>
        <v>14864.515349620997</v>
      </c>
      <c r="AN52" s="149">
        <f>IF(AN$4=0,$P52,IF(AN$4&lt;4,$U52*(1+$C$137)^AN$4,IF(AN$4&gt;3,$Y52*(1+$C$137)^AN$4)))</f>
        <v>15236.128233361518</v>
      </c>
      <c r="AO52" s="149">
        <f>IF(AO$4=0,$P52,IF(AO$4&lt;4,$U52*(1+$C$137)^AO$4,IF(AO$4&gt;3,$Y52*(1+$C$137)^AO$4)))</f>
        <v>15617.031439195556</v>
      </c>
      <c r="AP52" s="149">
        <f>IF(AP$4=0,$P52,IF(AP$4&lt;4,$U52*(1+$C$137)^AP$4,IF(AP$4&gt;3,$Y52*(1+$C$137)^AP$4)))</f>
        <v>16007.457225175445</v>
      </c>
      <c r="AQ52" s="149">
        <f>IF(AQ$4=0,$P52,IF(AQ$4&lt;4,$U52*(1+$C$137)^AQ$4,IF(AQ$4&gt;3,$Y52*(1+$C$137)^AQ$4)))</f>
        <v>16407.64365580483</v>
      </c>
      <c r="AR52" s="149">
        <f>IF(AR$4=0,$P52,IF(AR$4&lt;4,$U52*(1+$C$137)^AR$4,IF(AR$4&gt;3,$Y52*(1+$C$137)^AR$4)))</f>
        <v>16817.834747199951</v>
      </c>
      <c r="AS52" s="149">
        <f>IF(AS$4=0,$P52,IF(AS$4&lt;4,$U52*(1+$C$137)^AS$4,IF(AS$4&gt;3,$Y52*(1+$C$137)^AS$4)))</f>
        <v>17238.280615879947</v>
      </c>
      <c r="AT52" s="149">
        <f>IF(AT$4=0,$P52,IF(AT$4&lt;4,$U52*(1+$C$137)^AT$4,IF(AT$4&gt;3,$Y52*(1+$C$137)^AT$4)))</f>
        <v>17669.237631276948</v>
      </c>
      <c r="AU52" s="149">
        <f>IF(AU$4=0,$P52,IF(AU$4&lt;4,$U52*(1+$C$137)^AU$4,IF(AU$4&gt;3,$Y52*(1+$C$137)^AU$4)))</f>
        <v>18110.968572058871</v>
      </c>
      <c r="AV52" s="149">
        <f>IF(AV$4=0,$P52,IF(AV$4&lt;4,$U52*(1+$C$137)^AV$4,IF(AV$4&gt;3,$Y52*(1+$C$137)^AV$4)))</f>
        <v>18563.742786360341</v>
      </c>
      <c r="AW52" s="149">
        <f>IF(AW$4=0,$P52,IF(AW$4&lt;4,$U52*(1+$C$137)^AW$4,IF(AW$4&gt;3,$Y52*(1+$C$137)^AW$4)))</f>
        <v>19027.83635601935</v>
      </c>
      <c r="AX52" s="149">
        <f>IF(AX$4=0,$P52,IF(AX$4&lt;4,$U52*(1+$C$137)^AX$4,IF(AX$4&gt;3,$Y52*(1+$C$137)^AX$4)))</f>
        <v>19503.532264919832</v>
      </c>
      <c r="AY52" s="149">
        <f>IF(AY$4=0,$P52,IF(AY$4&lt;4,$U52*(1+$C$137)^AY$4,IF(AY$4&gt;3,$Y52*(1+$C$137)^AY$4)))</f>
        <v>19991.120571542826</v>
      </c>
      <c r="AZ52" s="149">
        <f>IF(AZ$4=0,$P52,IF(AZ$4&lt;4,$U52*(1+$C$137)^AZ$4,IF(AZ$4&gt;3,$Y52*(1+$C$137)^AZ$4)))</f>
        <v>20490.898585831394</v>
      </c>
      <c r="BA52" s="149">
        <f>IF(BA$4=0,$P52,IF(BA$4&lt;4,$U52*(1+$C$137)^BA$4,IF(BA$4&gt;3,$Y52*(1+$C$137)^BA$4)))</f>
        <v>21003.17105047718</v>
      </c>
      <c r="BB52" s="149">
        <f>IF(BB$4=0,$P52,IF(BB$4&lt;4,$U52*(1+$C$137)^BB$4,IF(BB$4&gt;3,$Y52*(1+$C$137)^BB$4)))</f>
        <v>21528.250326739108</v>
      </c>
      <c r="BC52" s="149">
        <f>IF(BC$4=0,$P52,IF(BC$4&lt;4,$U52*(1+$C$137)^BC$4,IF(BC$4&gt;3,$Y52*(1+$C$137)^BC$4)))</f>
        <v>22066.456584907584</v>
      </c>
      <c r="BD52" s="149">
        <f>IF(BD$4=0,$P52,IF(BD$4&lt;4,$U52*(1+$C$137)^BD$4,IF(BD$4&gt;3,$Y52*(1+$C$137)^BD$4)))</f>
        <v>22618.11799953027</v>
      </c>
      <c r="BE52" s="149">
        <f>IF(BE$4=0,$P52,IF(BE$4&lt;4,$U52*(1+$C$137)^BE$4,IF(BE$4&gt;3,$Y52*(1+$C$137)^BE$4)))</f>
        <v>23183.570949518526</v>
      </c>
      <c r="BF52" s="149">
        <f>IF(BF$4=0,$P52,IF(BF$4&lt;4,$U52*(1+$C$137)^BF$4,IF(BF$4&gt;3,$Y52*(1+$C$137)^BF$4)))</f>
        <v>23763.160223256487</v>
      </c>
      <c r="BG52" s="149">
        <f>IF(BG$4=0,$P52,IF(BG$4&lt;4,$U52*(1+$C$137)^BG$4,IF(BG$4&gt;3,$Y52*(1+$C$137)^BG$4)))</f>
        <v>24357.239228837898</v>
      </c>
      <c r="BH52" s="149">
        <f>IF(BH$4=0,$P52,IF(BH$4&lt;4,$U52*(1+$C$137)^BH$4,IF(BH$4&gt;3,$Y52*(1+$C$137)^BH$4)))</f>
        <v>24966.170209558848</v>
      </c>
      <c r="BI52" s="149">
        <f>IF(BI$4=0,$P52,IF(BI$4&lt;4,$U52*(1+$C$137)^BI$4,IF(BI$4&gt;3,$Y52*(1+$C$137)^BI$4)))</f>
        <v>25590.324464797814</v>
      </c>
      <c r="BJ52" s="149">
        <f>IF(BJ$4=0,$P52,IF(BJ$4&lt;4,$U52*(1+$C$137)^BJ$4,IF(BJ$4&gt;3,$Y52*(1+$C$137)^BJ$4)))</f>
        <v>26230.082576417768</v>
      </c>
      <c r="BK52" s="149">
        <f>IF(BK$4=0,$P52,IF(BK$4&lt;4,$U52*(1+$C$137)^BK$4,IF(BK$4&gt;3,$Y52*(1+$C$137)^BK$4)))</f>
        <v>26885.834640828205</v>
      </c>
      <c r="BL52" s="149">
        <f>IF(BL$4=0,$P52,IF(BL$4&lt;4,$U52*(1+$C$137)^BL$4,IF(BL$4&gt;3,$Y52*(1+$C$137)^BL$4)))</f>
        <v>27557.980506848908</v>
      </c>
      <c r="BM52" s="149">
        <f>IF(BM$4=0,$P52,IF(BM$4&lt;4,$U52*(1+$C$137)^BM$4,IF(BM$4&gt;3,$Y52*(1+$C$137)^BM$4)))</f>
        <v>28246.930019520132</v>
      </c>
      <c r="BN52" s="149">
        <f>IF(BN$4=0,$P52,IF(BN$4&lt;4,$U52*(1+$C$137)^BN$4,IF(BN$4&gt;3,$Y52*(1+$C$137)^BN$4)))</f>
        <v>28953.10327000813</v>
      </c>
      <c r="BO52" s="149">
        <f>IF(BO$4=0,$P52,IF(BO$4&lt;4,$U52*(1+$C$137)^BO$4,IF(BO$4&gt;3,$Y52*(1+$C$137)^BO$4)))</f>
        <v>29676.930851758338</v>
      </c>
      <c r="BP52" s="149">
        <f>IF(BP$4=0,$P52,IF(BP$4&lt;4,$U52*(1+$C$137)^BP$4,IF(BP$4&gt;3,$Y52*(1+$C$137)^BP$4)))</f>
        <v>30418.85412305229</v>
      </c>
      <c r="BQ52" s="149">
        <f>IF(BQ$4=0,$P52,IF(BQ$4&lt;4,$U52*(1+$C$137)^BQ$4,IF(BQ$4&gt;3,$Y52*(1+$C$137)^BQ$4)))</f>
        <v>31179.32547612859</v>
      </c>
      <c r="BR52" s="149">
        <f>IF(BR$4=0,$P52,IF(BR$4&lt;4,$U52*(1+$C$137)^BR$4,IF(BR$4&gt;3,$Y52*(1+$C$137)^BR$4)))</f>
        <v>31958.808613031808</v>
      </c>
      <c r="BS52" s="149">
        <f>IF(BS$4=0,$P52,IF(BS$4&lt;4,$U52*(1+$C$137)^BS$4,IF(BS$4&gt;3,$Y52*(1+$C$137)^BS$4)))</f>
        <v>32757.778828357601</v>
      </c>
      <c r="BT52" s="1"/>
      <c r="BU52" s="14"/>
      <c r="BV52" s="93" t="str">
        <f>C52</f>
        <v>Wildflower &amp; fine grass seeding</v>
      </c>
      <c r="BW52" s="14"/>
      <c r="BX52" s="93"/>
      <c r="BY52" s="14"/>
    </row>
    <row r="53" spans="1:77" ht="32" x14ac:dyDescent="0.2">
      <c r="A53" s="14"/>
      <c r="B53" s="1070"/>
      <c r="C53" s="1056"/>
      <c r="D53" s="957" t="s">
        <v>168</v>
      </c>
      <c r="E53" s="393"/>
      <c r="F53" s="394"/>
      <c r="G53" s="395"/>
      <c r="H53" s="396"/>
      <c r="I53" s="397"/>
      <c r="J53" s="398"/>
      <c r="K53" s="399"/>
      <c r="L53" s="400">
        <f t="shared" si="21"/>
        <v>0</v>
      </c>
      <c r="M53" s="958"/>
      <c r="N53" s="959"/>
      <c r="O53" s="400">
        <f t="shared" si="22"/>
        <v>0</v>
      </c>
      <c r="P53" s="401">
        <f t="shared" si="23"/>
        <v>0</v>
      </c>
      <c r="Q53" s="402" t="s">
        <v>117</v>
      </c>
      <c r="R53" s="403"/>
      <c r="S53" s="404"/>
      <c r="T53" s="960"/>
      <c r="U53" s="401">
        <f t="shared" si="24"/>
        <v>0</v>
      </c>
      <c r="V53" s="405" t="s">
        <v>120</v>
      </c>
      <c r="W53" s="406"/>
      <c r="X53" s="407"/>
      <c r="Y53" s="961">
        <f t="shared" si="25"/>
        <v>0</v>
      </c>
      <c r="Z53" s="1"/>
      <c r="AA53" s="88">
        <f>NPV($C$136,AF53:BS53)+AE53</f>
        <v>0</v>
      </c>
      <c r="AB53" s="74"/>
      <c r="AC53" s="392"/>
      <c r="AD53" s="392"/>
      <c r="AE53" s="149">
        <f>IF(AE$4=0,$P53,IF(AE$4&lt;4,$U53*(1+$C$137)^AE$4,IF(AE$4&gt;3,$Y53*(1+$C$137)^AE$4)))</f>
        <v>0</v>
      </c>
      <c r="AF53" s="149">
        <f>IF(AF$4=0,$P53,IF(AF$4&lt;4,$U53*(1+$C$137)^AF$4,IF(AF$4&gt;3,$Y53*(1+$C$137)^AF$4)))</f>
        <v>0</v>
      </c>
      <c r="AG53" s="149">
        <f>IF(AG$4=0,$P53,IF(AG$4&lt;4,$U53*(1+$C$137)^AG$4,IF(AG$4&gt;3,$Y53*(1+$C$137)^AG$4)))</f>
        <v>0</v>
      </c>
      <c r="AH53" s="149">
        <f>IF(AH$4=0,$P53,IF(AH$4&lt;4,$U53*(1+$C$137)^AH$4,IF(AH$4&gt;3,$Y53*(1+$C$137)^AH$4)))</f>
        <v>0</v>
      </c>
      <c r="AI53" s="149">
        <f>IF(AI$4=0,$P53,IF(AI$4&lt;4,$U53*(1+$C$137)^AI$4,IF(AI$4&gt;3,$Y53*(1+$C$137)^AI$4)))</f>
        <v>0</v>
      </c>
      <c r="AJ53" s="149">
        <f>IF(AJ$4=0,$P53,IF(AJ$4&lt;4,$U53*(1+$C$137)^AJ$4,IF(AJ$4&gt;3,$Y53*(1+$C$137)^AJ$4)))</f>
        <v>0</v>
      </c>
      <c r="AK53" s="149">
        <f>IF(AK$4=0,$P53,IF(AK$4&lt;4,$U53*(1+$C$137)^AK$4,IF(AK$4&gt;3,$Y53*(1+$C$137)^AK$4)))</f>
        <v>0</v>
      </c>
      <c r="AL53" s="149">
        <f>IF(AL$4=0,$P53,IF(AL$4&lt;4,$U53*(1+$C$137)^AL$4,IF(AL$4&gt;3,$Y53*(1+$C$137)^AL$4)))</f>
        <v>0</v>
      </c>
      <c r="AM53" s="149">
        <f>IF(AM$4=0,$P53,IF(AM$4&lt;4,$U53*(1+$C$137)^AM$4,IF(AM$4&gt;3,$Y53*(1+$C$137)^AM$4)))</f>
        <v>0</v>
      </c>
      <c r="AN53" s="149">
        <f>IF(AN$4=0,$P53,IF(AN$4&lt;4,$U53*(1+$C$137)^AN$4,IF(AN$4&gt;3,$Y53*(1+$C$137)^AN$4)))</f>
        <v>0</v>
      </c>
      <c r="AO53" s="149">
        <f>IF(AO$4=0,$P53,IF(AO$4&lt;4,$U53*(1+$C$137)^AO$4,IF(AO$4&gt;3,$Y53*(1+$C$137)^AO$4)))</f>
        <v>0</v>
      </c>
      <c r="AP53" s="149">
        <f>IF(AP$4=0,$P53,IF(AP$4&lt;4,$U53*(1+$C$137)^AP$4,IF(AP$4&gt;3,$Y53*(1+$C$137)^AP$4)))</f>
        <v>0</v>
      </c>
      <c r="AQ53" s="149">
        <f>IF(AQ$4=0,$P53,IF(AQ$4&lt;4,$U53*(1+$C$137)^AQ$4,IF(AQ$4&gt;3,$Y53*(1+$C$137)^AQ$4)))</f>
        <v>0</v>
      </c>
      <c r="AR53" s="149">
        <f>IF(AR$4=0,$P53,IF(AR$4&lt;4,$U53*(1+$C$137)^AR$4,IF(AR$4&gt;3,$Y53*(1+$C$137)^AR$4)))</f>
        <v>0</v>
      </c>
      <c r="AS53" s="149">
        <f>IF(AS$4=0,$P53,IF(AS$4&lt;4,$U53*(1+$C$137)^AS$4,IF(AS$4&gt;3,$Y53*(1+$C$137)^AS$4)))</f>
        <v>0</v>
      </c>
      <c r="AT53" s="149">
        <f>IF(AT$4=0,$P53,IF(AT$4&lt;4,$U53*(1+$C$137)^AT$4,IF(AT$4&gt;3,$Y53*(1+$C$137)^AT$4)))</f>
        <v>0</v>
      </c>
      <c r="AU53" s="149">
        <f>IF(AU$4=0,$P53,IF(AU$4&lt;4,$U53*(1+$C$137)^AU$4,IF(AU$4&gt;3,$Y53*(1+$C$137)^AU$4)))</f>
        <v>0</v>
      </c>
      <c r="AV53" s="149">
        <f>IF(AV$4=0,$P53,IF(AV$4&lt;4,$U53*(1+$C$137)^AV$4,IF(AV$4&gt;3,$Y53*(1+$C$137)^AV$4)))</f>
        <v>0</v>
      </c>
      <c r="AW53" s="149">
        <f>IF(AW$4=0,$P53,IF(AW$4&lt;4,$U53*(1+$C$137)^AW$4,IF(AW$4&gt;3,$Y53*(1+$C$137)^AW$4)))</f>
        <v>0</v>
      </c>
      <c r="AX53" s="149">
        <f>IF(AX$4=0,$P53,IF(AX$4&lt;4,$U53*(1+$C$137)^AX$4,IF(AX$4&gt;3,$Y53*(1+$C$137)^AX$4)))</f>
        <v>0</v>
      </c>
      <c r="AY53" s="149">
        <f>IF(AY$4=0,$P53,IF(AY$4&lt;4,$U53*(1+$C$137)^AY$4,IF(AY$4&gt;3,$Y53*(1+$C$137)^AY$4)))</f>
        <v>0</v>
      </c>
      <c r="AZ53" s="149">
        <f>IF(AZ$4=0,$P53,IF(AZ$4&lt;4,$U53*(1+$C$137)^AZ$4,IF(AZ$4&gt;3,$Y53*(1+$C$137)^AZ$4)))</f>
        <v>0</v>
      </c>
      <c r="BA53" s="149">
        <f>IF(BA$4=0,$P53,IF(BA$4&lt;4,$U53*(1+$C$137)^BA$4,IF(BA$4&gt;3,$Y53*(1+$C$137)^BA$4)))</f>
        <v>0</v>
      </c>
      <c r="BB53" s="149">
        <f>IF(BB$4=0,$P53,IF(BB$4&lt;4,$U53*(1+$C$137)^BB$4,IF(BB$4&gt;3,$Y53*(1+$C$137)^BB$4)))</f>
        <v>0</v>
      </c>
      <c r="BC53" s="149">
        <f>IF(BC$4=0,$P53,IF(BC$4&lt;4,$U53*(1+$C$137)^BC$4,IF(BC$4&gt;3,$Y53*(1+$C$137)^BC$4)))</f>
        <v>0</v>
      </c>
      <c r="BD53" s="149">
        <f>IF(BD$4=0,$P53,IF(BD$4&lt;4,$U53*(1+$C$137)^BD$4,IF(BD$4&gt;3,$Y53*(1+$C$137)^BD$4)))</f>
        <v>0</v>
      </c>
      <c r="BE53" s="149">
        <f>IF(BE$4=0,$P53,IF(BE$4&lt;4,$U53*(1+$C$137)^BE$4,IF(BE$4&gt;3,$Y53*(1+$C$137)^BE$4)))</f>
        <v>0</v>
      </c>
      <c r="BF53" s="149">
        <f>IF(BF$4=0,$P53,IF(BF$4&lt;4,$U53*(1+$C$137)^BF$4,IF(BF$4&gt;3,$Y53*(1+$C$137)^BF$4)))</f>
        <v>0</v>
      </c>
      <c r="BG53" s="149">
        <f>IF(BG$4=0,$P53,IF(BG$4&lt;4,$U53*(1+$C$137)^BG$4,IF(BG$4&gt;3,$Y53*(1+$C$137)^BG$4)))</f>
        <v>0</v>
      </c>
      <c r="BH53" s="149">
        <f>IF(BH$4=0,$P53,IF(BH$4&lt;4,$U53*(1+$C$137)^BH$4,IF(BH$4&gt;3,$Y53*(1+$C$137)^BH$4)))</f>
        <v>0</v>
      </c>
      <c r="BI53" s="149">
        <f>IF(BI$4=0,$P53,IF(BI$4&lt;4,$U53*(1+$C$137)^BI$4,IF(BI$4&gt;3,$Y53*(1+$C$137)^BI$4)))</f>
        <v>0</v>
      </c>
      <c r="BJ53" s="149">
        <f>IF(BJ$4=0,$P53,IF(BJ$4&lt;4,$U53*(1+$C$137)^BJ$4,IF(BJ$4&gt;3,$Y53*(1+$C$137)^BJ$4)))</f>
        <v>0</v>
      </c>
      <c r="BK53" s="149">
        <f>IF(BK$4=0,$P53,IF(BK$4&lt;4,$U53*(1+$C$137)^BK$4,IF(BK$4&gt;3,$Y53*(1+$C$137)^BK$4)))</f>
        <v>0</v>
      </c>
      <c r="BL53" s="149">
        <f>IF(BL$4=0,$P53,IF(BL$4&lt;4,$U53*(1+$C$137)^BL$4,IF(BL$4&gt;3,$Y53*(1+$C$137)^BL$4)))</f>
        <v>0</v>
      </c>
      <c r="BM53" s="149">
        <f>IF(BM$4=0,$P53,IF(BM$4&lt;4,$U53*(1+$C$137)^BM$4,IF(BM$4&gt;3,$Y53*(1+$C$137)^BM$4)))</f>
        <v>0</v>
      </c>
      <c r="BN53" s="149">
        <f>IF(BN$4=0,$P53,IF(BN$4&lt;4,$U53*(1+$C$137)^BN$4,IF(BN$4&gt;3,$Y53*(1+$C$137)^BN$4)))</f>
        <v>0</v>
      </c>
      <c r="BO53" s="149">
        <f>IF(BO$4=0,$P53,IF(BO$4&lt;4,$U53*(1+$C$137)^BO$4,IF(BO$4&gt;3,$Y53*(1+$C$137)^BO$4)))</f>
        <v>0</v>
      </c>
      <c r="BP53" s="149">
        <f>IF(BP$4=0,$P53,IF(BP$4&lt;4,$U53*(1+$C$137)^BP$4,IF(BP$4&gt;3,$Y53*(1+$C$137)^BP$4)))</f>
        <v>0</v>
      </c>
      <c r="BQ53" s="149">
        <f>IF(BQ$4=0,$P53,IF(BQ$4&lt;4,$U53*(1+$C$137)^BQ$4,IF(BQ$4&gt;3,$Y53*(1+$C$137)^BQ$4)))</f>
        <v>0</v>
      </c>
      <c r="BR53" s="149">
        <f>IF(BR$4=0,$P53,IF(BR$4&lt;4,$U53*(1+$C$137)^BR$4,IF(BR$4&gt;3,$Y53*(1+$C$137)^BR$4)))</f>
        <v>0</v>
      </c>
      <c r="BS53" s="149">
        <f>IF(BS$4=0,$P53,IF(BS$4&lt;4,$U53*(1+$C$137)^BS$4,IF(BS$4&gt;3,$Y53*(1+$C$137)^BS$4)))</f>
        <v>0</v>
      </c>
      <c r="BT53" s="1"/>
      <c r="BU53" s="14"/>
      <c r="BV53" s="90" t="str">
        <f>BV52</f>
        <v>Wildflower &amp; fine grass seeding</v>
      </c>
      <c r="BW53" s="14"/>
      <c r="BX53" s="90"/>
      <c r="BY53" s="14"/>
    </row>
    <row r="54" spans="1:77" ht="32" x14ac:dyDescent="0.2">
      <c r="A54" s="14"/>
      <c r="B54" s="1070"/>
      <c r="C54" s="98" t="s">
        <v>34</v>
      </c>
      <c r="D54" s="962" t="s">
        <v>121</v>
      </c>
      <c r="E54" s="32"/>
      <c r="F54" s="408"/>
      <c r="G54" s="409"/>
      <c r="H54" s="410"/>
      <c r="I54" s="145"/>
      <c r="J54" s="411"/>
      <c r="K54" s="412">
        <v>350</v>
      </c>
      <c r="L54" s="413">
        <f t="shared" si="21"/>
        <v>0</v>
      </c>
      <c r="M54" s="145" t="s">
        <v>59</v>
      </c>
      <c r="N54" s="414">
        <v>800</v>
      </c>
      <c r="O54" s="415">
        <f t="shared" si="22"/>
        <v>0</v>
      </c>
      <c r="P54" s="413">
        <f t="shared" si="23"/>
        <v>0</v>
      </c>
      <c r="Q54" s="416" t="s">
        <v>117</v>
      </c>
      <c r="R54" s="23" t="s">
        <v>119</v>
      </c>
      <c r="S54" s="417">
        <v>3</v>
      </c>
      <c r="T54" s="418">
        <v>75</v>
      </c>
      <c r="U54" s="413">
        <f t="shared" si="24"/>
        <v>0</v>
      </c>
      <c r="V54" s="145" t="s">
        <v>122</v>
      </c>
      <c r="W54" s="419">
        <v>0</v>
      </c>
      <c r="X54" s="963">
        <v>0</v>
      </c>
      <c r="Y54" s="961">
        <f t="shared" si="25"/>
        <v>0</v>
      </c>
      <c r="Z54" s="1"/>
      <c r="AA54" s="88">
        <f>NPV($C$136,AF54:BS54)+AE54</f>
        <v>0</v>
      </c>
      <c r="AB54" s="74"/>
      <c r="AC54" s="392"/>
      <c r="AD54" s="392"/>
      <c r="AE54" s="149">
        <f>IF(AE$4=0,$P54,IF(AE$4&lt;4,$U54*(1+$C$137)^AE$4,IF(AE$4&gt;3,$Y54*(1+$C$137)^AE$4)))</f>
        <v>0</v>
      </c>
      <c r="AF54" s="149">
        <f>IF(AF$4=0,$P54,IF(AF$4&lt;4,$U54*(1+$C$137)^AF$4,IF(AF$4&gt;3,$Y54*(1+$C$137)^AF$4)))</f>
        <v>0</v>
      </c>
      <c r="AG54" s="149">
        <f>IF(AG$4=0,$P54,IF(AG$4&lt;4,$U54*(1+$C$137)^AG$4,IF(AG$4&gt;3,$Y54*(1+$C$137)^AG$4)))</f>
        <v>0</v>
      </c>
      <c r="AH54" s="149">
        <f>IF(AH$4=0,$P54,IF(AH$4&lt;4,$U54*(1+$C$137)^AH$4,IF(AH$4&gt;3,$Y54*(1+$C$137)^AH$4)))</f>
        <v>0</v>
      </c>
      <c r="AI54" s="149">
        <f>IF(AI$4=0,$P54,IF(AI$4&lt;4,$U54*(1+$C$137)^AI$4,IF(AI$4&gt;3,$Y54*(1+$C$137)^AI$4)))</f>
        <v>0</v>
      </c>
      <c r="AJ54" s="149">
        <f>IF(AJ$4=0,$P54,IF(AJ$4&lt;4,$U54*(1+$C$137)^AJ$4,IF(AJ$4&gt;3,$Y54*(1+$C$137)^AJ$4)))</f>
        <v>0</v>
      </c>
      <c r="AK54" s="149">
        <f>IF(AK$4=0,$P54,IF(AK$4&lt;4,$U54*(1+$C$137)^AK$4,IF(AK$4&gt;3,$Y54*(1+$C$137)^AK$4)))</f>
        <v>0</v>
      </c>
      <c r="AL54" s="149">
        <f>IF(AL$4=0,$P54,IF(AL$4&lt;4,$U54*(1+$C$137)^AL$4,IF(AL$4&gt;3,$Y54*(1+$C$137)^AL$4)))</f>
        <v>0</v>
      </c>
      <c r="AM54" s="149">
        <f>IF(AM$4=0,$P54,IF(AM$4&lt;4,$U54*(1+$C$137)^AM$4,IF(AM$4&gt;3,$Y54*(1+$C$137)^AM$4)))</f>
        <v>0</v>
      </c>
      <c r="AN54" s="149">
        <f>IF(AN$4=0,$P54,IF(AN$4&lt;4,$U54*(1+$C$137)^AN$4,IF(AN$4&gt;3,$Y54*(1+$C$137)^AN$4)))</f>
        <v>0</v>
      </c>
      <c r="AO54" s="149">
        <f>IF(AO$4=0,$P54,IF(AO$4&lt;4,$U54*(1+$C$137)^AO$4,IF(AO$4&gt;3,$Y54*(1+$C$137)^AO$4)))</f>
        <v>0</v>
      </c>
      <c r="AP54" s="149">
        <f>IF(AP$4=0,$P54,IF(AP$4&lt;4,$U54*(1+$C$137)^AP$4,IF(AP$4&gt;3,$Y54*(1+$C$137)^AP$4)))</f>
        <v>0</v>
      </c>
      <c r="AQ54" s="149">
        <f>IF(AQ$4=0,$P54,IF(AQ$4&lt;4,$U54*(1+$C$137)^AQ$4,IF(AQ$4&gt;3,$Y54*(1+$C$137)^AQ$4)))</f>
        <v>0</v>
      </c>
      <c r="AR54" s="149">
        <f>IF(AR$4=0,$P54,IF(AR$4&lt;4,$U54*(1+$C$137)^AR$4,IF(AR$4&gt;3,$Y54*(1+$C$137)^AR$4)))</f>
        <v>0</v>
      </c>
      <c r="AS54" s="149">
        <f>IF(AS$4=0,$P54,IF(AS$4&lt;4,$U54*(1+$C$137)^AS$4,IF(AS$4&gt;3,$Y54*(1+$C$137)^AS$4)))</f>
        <v>0</v>
      </c>
      <c r="AT54" s="149">
        <f>IF(AT$4=0,$P54,IF(AT$4&lt;4,$U54*(1+$C$137)^AT$4,IF(AT$4&gt;3,$Y54*(1+$C$137)^AT$4)))</f>
        <v>0</v>
      </c>
      <c r="AU54" s="149">
        <f>IF(AU$4=0,$P54,IF(AU$4&lt;4,$U54*(1+$C$137)^AU$4,IF(AU$4&gt;3,$Y54*(1+$C$137)^AU$4)))</f>
        <v>0</v>
      </c>
      <c r="AV54" s="149">
        <f>IF(AV$4=0,$P54,IF(AV$4&lt;4,$U54*(1+$C$137)^AV$4,IF(AV$4&gt;3,$Y54*(1+$C$137)^AV$4)))</f>
        <v>0</v>
      </c>
      <c r="AW54" s="149">
        <f>IF(AW$4=0,$P54,IF(AW$4&lt;4,$U54*(1+$C$137)^AW$4,IF(AW$4&gt;3,$Y54*(1+$C$137)^AW$4)))</f>
        <v>0</v>
      </c>
      <c r="AX54" s="149">
        <f>IF(AX$4=0,$P54,IF(AX$4&lt;4,$U54*(1+$C$137)^AX$4,IF(AX$4&gt;3,$Y54*(1+$C$137)^AX$4)))</f>
        <v>0</v>
      </c>
      <c r="AY54" s="149">
        <f>IF(AY$4=0,$P54,IF(AY$4&lt;4,$U54*(1+$C$137)^AY$4,IF(AY$4&gt;3,$Y54*(1+$C$137)^AY$4)))</f>
        <v>0</v>
      </c>
      <c r="AZ54" s="149">
        <f>IF(AZ$4=0,$P54,IF(AZ$4&lt;4,$U54*(1+$C$137)^AZ$4,IF(AZ$4&gt;3,$Y54*(1+$C$137)^AZ$4)))</f>
        <v>0</v>
      </c>
      <c r="BA54" s="149">
        <f>IF(BA$4=0,$P54,IF(BA$4&lt;4,$U54*(1+$C$137)^BA$4,IF(BA$4&gt;3,$Y54*(1+$C$137)^BA$4)))</f>
        <v>0</v>
      </c>
      <c r="BB54" s="149">
        <f>IF(BB$4=0,$P54,IF(BB$4&lt;4,$U54*(1+$C$137)^BB$4,IF(BB$4&gt;3,$Y54*(1+$C$137)^BB$4)))</f>
        <v>0</v>
      </c>
      <c r="BC54" s="149">
        <f>IF(BC$4=0,$P54,IF(BC$4&lt;4,$U54*(1+$C$137)^BC$4,IF(BC$4&gt;3,$Y54*(1+$C$137)^BC$4)))</f>
        <v>0</v>
      </c>
      <c r="BD54" s="149">
        <f>IF(BD$4=0,$P54,IF(BD$4&lt;4,$U54*(1+$C$137)^BD$4,IF(BD$4&gt;3,$Y54*(1+$C$137)^BD$4)))</f>
        <v>0</v>
      </c>
      <c r="BE54" s="149">
        <f>IF(BE$4=0,$P54,IF(BE$4&lt;4,$U54*(1+$C$137)^BE$4,IF(BE$4&gt;3,$Y54*(1+$C$137)^BE$4)))</f>
        <v>0</v>
      </c>
      <c r="BF54" s="149">
        <f>IF(BF$4=0,$P54,IF(BF$4&lt;4,$U54*(1+$C$137)^BF$4,IF(BF$4&gt;3,$Y54*(1+$C$137)^BF$4)))</f>
        <v>0</v>
      </c>
      <c r="BG54" s="149">
        <f>IF(BG$4=0,$P54,IF(BG$4&lt;4,$U54*(1+$C$137)^BG$4,IF(BG$4&gt;3,$Y54*(1+$C$137)^BG$4)))</f>
        <v>0</v>
      </c>
      <c r="BH54" s="149">
        <f>IF(BH$4=0,$P54,IF(BH$4&lt;4,$U54*(1+$C$137)^BH$4,IF(BH$4&gt;3,$Y54*(1+$C$137)^BH$4)))</f>
        <v>0</v>
      </c>
      <c r="BI54" s="149">
        <f>IF(BI$4=0,$P54,IF(BI$4&lt;4,$U54*(1+$C$137)^BI$4,IF(BI$4&gt;3,$Y54*(1+$C$137)^BI$4)))</f>
        <v>0</v>
      </c>
      <c r="BJ54" s="149">
        <f>IF(BJ$4=0,$P54,IF(BJ$4&lt;4,$U54*(1+$C$137)^BJ$4,IF(BJ$4&gt;3,$Y54*(1+$C$137)^BJ$4)))</f>
        <v>0</v>
      </c>
      <c r="BK54" s="149">
        <f>IF(BK$4=0,$P54,IF(BK$4&lt;4,$U54*(1+$C$137)^BK$4,IF(BK$4&gt;3,$Y54*(1+$C$137)^BK$4)))</f>
        <v>0</v>
      </c>
      <c r="BL54" s="149">
        <f>IF(BL$4=0,$P54,IF(BL$4&lt;4,$U54*(1+$C$137)^BL$4,IF(BL$4&gt;3,$Y54*(1+$C$137)^BL$4)))</f>
        <v>0</v>
      </c>
      <c r="BM54" s="149">
        <f>IF(BM$4=0,$P54,IF(BM$4&lt;4,$U54*(1+$C$137)^BM$4,IF(BM$4&gt;3,$Y54*(1+$C$137)^BM$4)))</f>
        <v>0</v>
      </c>
      <c r="BN54" s="149">
        <f>IF(BN$4=0,$P54,IF(BN$4&lt;4,$U54*(1+$C$137)^BN$4,IF(BN$4&gt;3,$Y54*(1+$C$137)^BN$4)))</f>
        <v>0</v>
      </c>
      <c r="BO54" s="149">
        <f>IF(BO$4=0,$P54,IF(BO$4&lt;4,$U54*(1+$C$137)^BO$4,IF(BO$4&gt;3,$Y54*(1+$C$137)^BO$4)))</f>
        <v>0</v>
      </c>
      <c r="BP54" s="149">
        <f>IF(BP$4=0,$P54,IF(BP$4&lt;4,$U54*(1+$C$137)^BP$4,IF(BP$4&gt;3,$Y54*(1+$C$137)^BP$4)))</f>
        <v>0</v>
      </c>
      <c r="BQ54" s="149">
        <f>IF(BQ$4=0,$P54,IF(BQ$4&lt;4,$U54*(1+$C$137)^BQ$4,IF(BQ$4&gt;3,$Y54*(1+$C$137)^BQ$4)))</f>
        <v>0</v>
      </c>
      <c r="BR54" s="149">
        <f>IF(BR$4=0,$P54,IF(BR$4&lt;4,$U54*(1+$C$137)^BR$4,IF(BR$4&gt;3,$Y54*(1+$C$137)^BR$4)))</f>
        <v>0</v>
      </c>
      <c r="BS54" s="149">
        <f>IF(BS$4=0,$P54,IF(BS$4&lt;4,$U54*(1+$C$137)^BS$4,IF(BS$4&gt;3,$Y54*(1+$C$137)^BS$4)))</f>
        <v>0</v>
      </c>
      <c r="BT54" s="1"/>
      <c r="BU54" s="14"/>
      <c r="BV54" s="93" t="str">
        <f>C54</f>
        <v>Grazing pasture</v>
      </c>
      <c r="BW54" s="14"/>
      <c r="BX54" s="93"/>
      <c r="BY54" s="14"/>
    </row>
    <row r="55" spans="1:77" ht="32" x14ac:dyDescent="0.2">
      <c r="A55" s="14"/>
      <c r="B55" s="1070"/>
      <c r="C55" s="98" t="s">
        <v>61</v>
      </c>
      <c r="D55" s="964" t="s">
        <v>123</v>
      </c>
      <c r="E55" s="49"/>
      <c r="F55" s="420"/>
      <c r="G55" s="421"/>
      <c r="H55" s="422"/>
      <c r="I55" s="98"/>
      <c r="J55" s="99"/>
      <c r="K55" s="423">
        <v>250</v>
      </c>
      <c r="L55" s="96">
        <f t="shared" si="21"/>
        <v>0</v>
      </c>
      <c r="M55" s="98"/>
      <c r="N55" s="429">
        <v>300</v>
      </c>
      <c r="O55" s="96">
        <f t="shared" si="22"/>
        <v>0</v>
      </c>
      <c r="P55" s="94">
        <f t="shared" si="23"/>
        <v>0</v>
      </c>
      <c r="Q55" s="424" t="s">
        <v>117</v>
      </c>
      <c r="R55" s="100" t="s">
        <v>124</v>
      </c>
      <c r="S55" s="425">
        <v>1</v>
      </c>
      <c r="T55" s="426">
        <f>K55+N55</f>
        <v>550</v>
      </c>
      <c r="U55" s="96">
        <f t="shared" si="24"/>
        <v>0</v>
      </c>
      <c r="V55" s="100" t="s">
        <v>124</v>
      </c>
      <c r="W55" s="427">
        <v>1</v>
      </c>
      <c r="X55" s="555">
        <f>T55</f>
        <v>550</v>
      </c>
      <c r="Y55" s="961">
        <f t="shared" si="25"/>
        <v>0</v>
      </c>
      <c r="Z55" s="1"/>
      <c r="AA55" s="88">
        <f>NPV($C$136,AF55:BS55)+AE55</f>
        <v>0</v>
      </c>
      <c r="AB55" s="74"/>
      <c r="AC55" s="392"/>
      <c r="AD55" s="392"/>
      <c r="AE55" s="149">
        <f>IF(AE$4=0,$P55,IF(AE$4&lt;4,$U55*(1+$C$137)^AE$4,IF(AE$4&gt;3,$Y55*(1+$C$137)^AE$4)))</f>
        <v>0</v>
      </c>
      <c r="AF55" s="149">
        <f>IF(AF$4=0,$P55,IF(AF$4&lt;4,$U55*(1+$C$137)^AF$4,IF(AF$4&gt;3,$Y55*(1+$C$137)^AF$4)))</f>
        <v>0</v>
      </c>
      <c r="AG55" s="149">
        <f>IF(AG$4=0,$P55,IF(AG$4&lt;4,$U55*(1+$C$137)^AG$4,IF(AG$4&gt;3,$Y55*(1+$C$137)^AG$4)))</f>
        <v>0</v>
      </c>
      <c r="AH55" s="149">
        <f>IF(AH$4=0,$P55,IF(AH$4&lt;4,$U55*(1+$C$137)^AH$4,IF(AH$4&gt;3,$Y55*(1+$C$137)^AH$4)))</f>
        <v>0</v>
      </c>
      <c r="AI55" s="149">
        <f>IF(AI$4=0,$P55,IF(AI$4&lt;4,$U55*(1+$C$137)^AI$4,IF(AI$4&gt;3,$Y55*(1+$C$137)^AI$4)))</f>
        <v>0</v>
      </c>
      <c r="AJ55" s="149">
        <f>IF(AJ$4=0,$P55,IF(AJ$4&lt;4,$U55*(1+$C$137)^AJ$4,IF(AJ$4&gt;3,$Y55*(1+$C$137)^AJ$4)))</f>
        <v>0</v>
      </c>
      <c r="AK55" s="149">
        <f>IF(AK$4=0,$P55,IF(AK$4&lt;4,$U55*(1+$C$137)^AK$4,IF(AK$4&gt;3,$Y55*(1+$C$137)^AK$4)))</f>
        <v>0</v>
      </c>
      <c r="AL55" s="149">
        <f>IF(AL$4=0,$P55,IF(AL$4&lt;4,$U55*(1+$C$137)^AL$4,IF(AL$4&gt;3,$Y55*(1+$C$137)^AL$4)))</f>
        <v>0</v>
      </c>
      <c r="AM55" s="149">
        <f>IF(AM$4=0,$P55,IF(AM$4&lt;4,$U55*(1+$C$137)^AM$4,IF(AM$4&gt;3,$Y55*(1+$C$137)^AM$4)))</f>
        <v>0</v>
      </c>
      <c r="AN55" s="149">
        <f>IF(AN$4=0,$P55,IF(AN$4&lt;4,$U55*(1+$C$137)^AN$4,IF(AN$4&gt;3,$Y55*(1+$C$137)^AN$4)))</f>
        <v>0</v>
      </c>
      <c r="AO55" s="149">
        <f>IF(AO$4=0,$P55,IF(AO$4&lt;4,$U55*(1+$C$137)^AO$4,IF(AO$4&gt;3,$Y55*(1+$C$137)^AO$4)))</f>
        <v>0</v>
      </c>
      <c r="AP55" s="149">
        <f>IF(AP$4=0,$P55,IF(AP$4&lt;4,$U55*(1+$C$137)^AP$4,IF(AP$4&gt;3,$Y55*(1+$C$137)^AP$4)))</f>
        <v>0</v>
      </c>
      <c r="AQ55" s="149">
        <f>IF(AQ$4=0,$P55,IF(AQ$4&lt;4,$U55*(1+$C$137)^AQ$4,IF(AQ$4&gt;3,$Y55*(1+$C$137)^AQ$4)))</f>
        <v>0</v>
      </c>
      <c r="AR55" s="149">
        <f>IF(AR$4=0,$P55,IF(AR$4&lt;4,$U55*(1+$C$137)^AR$4,IF(AR$4&gt;3,$Y55*(1+$C$137)^AR$4)))</f>
        <v>0</v>
      </c>
      <c r="AS55" s="149">
        <f>IF(AS$4=0,$P55,IF(AS$4&lt;4,$U55*(1+$C$137)^AS$4,IF(AS$4&gt;3,$Y55*(1+$C$137)^AS$4)))</f>
        <v>0</v>
      </c>
      <c r="AT55" s="149">
        <f>IF(AT$4=0,$P55,IF(AT$4&lt;4,$U55*(1+$C$137)^AT$4,IF(AT$4&gt;3,$Y55*(1+$C$137)^AT$4)))</f>
        <v>0</v>
      </c>
      <c r="AU55" s="149">
        <f>IF(AU$4=0,$P55,IF(AU$4&lt;4,$U55*(1+$C$137)^AU$4,IF(AU$4&gt;3,$Y55*(1+$C$137)^AU$4)))</f>
        <v>0</v>
      </c>
      <c r="AV55" s="149">
        <f>IF(AV$4=0,$P55,IF(AV$4&lt;4,$U55*(1+$C$137)^AV$4,IF(AV$4&gt;3,$Y55*(1+$C$137)^AV$4)))</f>
        <v>0</v>
      </c>
      <c r="AW55" s="149">
        <f>IF(AW$4=0,$P55,IF(AW$4&lt;4,$U55*(1+$C$137)^AW$4,IF(AW$4&gt;3,$Y55*(1+$C$137)^AW$4)))</f>
        <v>0</v>
      </c>
      <c r="AX55" s="149">
        <f>IF(AX$4=0,$P55,IF(AX$4&lt;4,$U55*(1+$C$137)^AX$4,IF(AX$4&gt;3,$Y55*(1+$C$137)^AX$4)))</f>
        <v>0</v>
      </c>
      <c r="AY55" s="149">
        <f>IF(AY$4=0,$P55,IF(AY$4&lt;4,$U55*(1+$C$137)^AY$4,IF(AY$4&gt;3,$Y55*(1+$C$137)^AY$4)))</f>
        <v>0</v>
      </c>
      <c r="AZ55" s="149">
        <f>IF(AZ$4=0,$P55,IF(AZ$4&lt;4,$U55*(1+$C$137)^AZ$4,IF(AZ$4&gt;3,$Y55*(1+$C$137)^AZ$4)))</f>
        <v>0</v>
      </c>
      <c r="BA55" s="149">
        <f>IF(BA$4=0,$P55,IF(BA$4&lt;4,$U55*(1+$C$137)^BA$4,IF(BA$4&gt;3,$Y55*(1+$C$137)^BA$4)))</f>
        <v>0</v>
      </c>
      <c r="BB55" s="149">
        <f>IF(BB$4=0,$P55,IF(BB$4&lt;4,$U55*(1+$C$137)^BB$4,IF(BB$4&gt;3,$Y55*(1+$C$137)^BB$4)))</f>
        <v>0</v>
      </c>
      <c r="BC55" s="149">
        <f>IF(BC$4=0,$P55,IF(BC$4&lt;4,$U55*(1+$C$137)^BC$4,IF(BC$4&gt;3,$Y55*(1+$C$137)^BC$4)))</f>
        <v>0</v>
      </c>
      <c r="BD55" s="149">
        <f>IF(BD$4=0,$P55,IF(BD$4&lt;4,$U55*(1+$C$137)^BD$4,IF(BD$4&gt;3,$Y55*(1+$C$137)^BD$4)))</f>
        <v>0</v>
      </c>
      <c r="BE55" s="149">
        <f>IF(BE$4=0,$P55,IF(BE$4&lt;4,$U55*(1+$C$137)^BE$4,IF(BE$4&gt;3,$Y55*(1+$C$137)^BE$4)))</f>
        <v>0</v>
      </c>
      <c r="BF55" s="149">
        <f>IF(BF$4=0,$P55,IF(BF$4&lt;4,$U55*(1+$C$137)^BF$4,IF(BF$4&gt;3,$Y55*(1+$C$137)^BF$4)))</f>
        <v>0</v>
      </c>
      <c r="BG55" s="149">
        <f>IF(BG$4=0,$P55,IF(BG$4&lt;4,$U55*(1+$C$137)^BG$4,IF(BG$4&gt;3,$Y55*(1+$C$137)^BG$4)))</f>
        <v>0</v>
      </c>
      <c r="BH55" s="149">
        <f>IF(BH$4=0,$P55,IF(BH$4&lt;4,$U55*(1+$C$137)^BH$4,IF(BH$4&gt;3,$Y55*(1+$C$137)^BH$4)))</f>
        <v>0</v>
      </c>
      <c r="BI55" s="149">
        <f>IF(BI$4=0,$P55,IF(BI$4&lt;4,$U55*(1+$C$137)^BI$4,IF(BI$4&gt;3,$Y55*(1+$C$137)^BI$4)))</f>
        <v>0</v>
      </c>
      <c r="BJ55" s="149">
        <f>IF(BJ$4=0,$P55,IF(BJ$4&lt;4,$U55*(1+$C$137)^BJ$4,IF(BJ$4&gt;3,$Y55*(1+$C$137)^BJ$4)))</f>
        <v>0</v>
      </c>
      <c r="BK55" s="149">
        <f>IF(BK$4=0,$P55,IF(BK$4&lt;4,$U55*(1+$C$137)^BK$4,IF(BK$4&gt;3,$Y55*(1+$C$137)^BK$4)))</f>
        <v>0</v>
      </c>
      <c r="BL55" s="149">
        <f>IF(BL$4=0,$P55,IF(BL$4&lt;4,$U55*(1+$C$137)^BL$4,IF(BL$4&gt;3,$Y55*(1+$C$137)^BL$4)))</f>
        <v>0</v>
      </c>
      <c r="BM55" s="149">
        <f>IF(BM$4=0,$P55,IF(BM$4&lt;4,$U55*(1+$C$137)^BM$4,IF(BM$4&gt;3,$Y55*(1+$C$137)^BM$4)))</f>
        <v>0</v>
      </c>
      <c r="BN55" s="149">
        <f>IF(BN$4=0,$P55,IF(BN$4&lt;4,$U55*(1+$C$137)^BN$4,IF(BN$4&gt;3,$Y55*(1+$C$137)^BN$4)))</f>
        <v>0</v>
      </c>
      <c r="BO55" s="149">
        <f>IF(BO$4=0,$P55,IF(BO$4&lt;4,$U55*(1+$C$137)^BO$4,IF(BO$4&gt;3,$Y55*(1+$C$137)^BO$4)))</f>
        <v>0</v>
      </c>
      <c r="BP55" s="149">
        <f>IF(BP$4=0,$P55,IF(BP$4&lt;4,$U55*(1+$C$137)^BP$4,IF(BP$4&gt;3,$Y55*(1+$C$137)^BP$4)))</f>
        <v>0</v>
      </c>
      <c r="BQ55" s="149">
        <f>IF(BQ$4=0,$P55,IF(BQ$4&lt;4,$U55*(1+$C$137)^BQ$4,IF(BQ$4&gt;3,$Y55*(1+$C$137)^BQ$4)))</f>
        <v>0</v>
      </c>
      <c r="BR55" s="149">
        <f>IF(BR$4=0,$P55,IF(BR$4&lt;4,$U55*(1+$C$137)^BR$4,IF(BR$4&gt;3,$Y55*(1+$C$137)^BR$4)))</f>
        <v>0</v>
      </c>
      <c r="BS55" s="149">
        <f>IF(BS$4=0,$P55,IF(BS$4&lt;4,$U55*(1+$C$137)^BS$4,IF(BS$4&gt;3,$Y55*(1+$C$137)^BS$4)))</f>
        <v>0</v>
      </c>
      <c r="BT55" s="1"/>
      <c r="BU55" s="14"/>
      <c r="BV55" s="93" t="str">
        <f>C55</f>
        <v>Wild Bird Seed mixes</v>
      </c>
      <c r="BW55" s="14"/>
      <c r="BX55" s="93"/>
      <c r="BY55" s="14"/>
    </row>
    <row r="56" spans="1:77" ht="64" x14ac:dyDescent="0.2">
      <c r="A56" s="14"/>
      <c r="B56" s="1070"/>
      <c r="C56" s="98" t="s">
        <v>110</v>
      </c>
      <c r="D56" s="964" t="s">
        <v>169</v>
      </c>
      <c r="E56" s="49"/>
      <c r="F56" s="420"/>
      <c r="G56" s="421"/>
      <c r="H56" s="422"/>
      <c r="I56" s="98"/>
      <c r="J56" s="99"/>
      <c r="K56" s="423">
        <v>0</v>
      </c>
      <c r="L56" s="96">
        <f t="shared" si="21"/>
        <v>0</v>
      </c>
      <c r="M56" s="100" t="s">
        <v>125</v>
      </c>
      <c r="N56" s="429">
        <v>200</v>
      </c>
      <c r="O56" s="96">
        <f t="shared" si="22"/>
        <v>0</v>
      </c>
      <c r="P56" s="94">
        <f t="shared" si="23"/>
        <v>0</v>
      </c>
      <c r="Q56" s="424" t="s">
        <v>117</v>
      </c>
      <c r="R56" s="100" t="s">
        <v>125</v>
      </c>
      <c r="S56" s="425">
        <v>1</v>
      </c>
      <c r="T56" s="426">
        <v>200</v>
      </c>
      <c r="U56" s="96">
        <f t="shared" si="24"/>
        <v>0</v>
      </c>
      <c r="V56" s="98" t="s">
        <v>125</v>
      </c>
      <c r="W56" s="425">
        <v>1</v>
      </c>
      <c r="X56" s="965">
        <v>200</v>
      </c>
      <c r="Y56" s="961">
        <f t="shared" si="25"/>
        <v>0</v>
      </c>
      <c r="Z56" s="1"/>
      <c r="AA56" s="88">
        <f>NPV($C$136,AF56:BS56)+AE56</f>
        <v>0</v>
      </c>
      <c r="AB56" s="74"/>
      <c r="AC56" s="392"/>
      <c r="AD56" s="392"/>
      <c r="AE56" s="149">
        <f>IF(AE$4=0,$P56,IF(AE$4&lt;4,$U56*(1+$C$137)^AE$4,IF(AE$4&gt;3,$Y56*(1+$C$137)^AE$4)))</f>
        <v>0</v>
      </c>
      <c r="AF56" s="149">
        <f>IF(AF$4=0,$P56,IF(AF$4&lt;4,$U56*(1+$C$137)^AF$4,IF(AF$4&gt;3,$Y56*(1+$C$137)^AF$4)))</f>
        <v>0</v>
      </c>
      <c r="AG56" s="149">
        <f>IF(AG$4=0,$P56,IF(AG$4&lt;4,$U56*(1+$C$137)^AG$4,IF(AG$4&gt;3,$Y56*(1+$C$137)^AG$4)))</f>
        <v>0</v>
      </c>
      <c r="AH56" s="149">
        <f>IF(AH$4=0,$P56,IF(AH$4&lt;4,$U56*(1+$C$137)^AH$4,IF(AH$4&gt;3,$Y56*(1+$C$137)^AH$4)))</f>
        <v>0</v>
      </c>
      <c r="AI56" s="149">
        <f>IF(AI$4=0,$P56,IF(AI$4&lt;4,$U56*(1+$C$137)^AI$4,IF(AI$4&gt;3,$Y56*(1+$C$137)^AI$4)))</f>
        <v>0</v>
      </c>
      <c r="AJ56" s="149">
        <f>IF(AJ$4=0,$P56,IF(AJ$4&lt;4,$U56*(1+$C$137)^AJ$4,IF(AJ$4&gt;3,$Y56*(1+$C$137)^AJ$4)))</f>
        <v>0</v>
      </c>
      <c r="AK56" s="149">
        <f>IF(AK$4=0,$P56,IF(AK$4&lt;4,$U56*(1+$C$137)^AK$4,IF(AK$4&gt;3,$Y56*(1+$C$137)^AK$4)))</f>
        <v>0</v>
      </c>
      <c r="AL56" s="149">
        <f>IF(AL$4=0,$P56,IF(AL$4&lt;4,$U56*(1+$C$137)^AL$4,IF(AL$4&gt;3,$Y56*(1+$C$137)^AL$4)))</f>
        <v>0</v>
      </c>
      <c r="AM56" s="149">
        <f>IF(AM$4=0,$P56,IF(AM$4&lt;4,$U56*(1+$C$137)^AM$4,IF(AM$4&gt;3,$Y56*(1+$C$137)^AM$4)))</f>
        <v>0</v>
      </c>
      <c r="AN56" s="149">
        <f>IF(AN$4=0,$P56,IF(AN$4&lt;4,$U56*(1+$C$137)^AN$4,IF(AN$4&gt;3,$Y56*(1+$C$137)^AN$4)))</f>
        <v>0</v>
      </c>
      <c r="AO56" s="149">
        <f>IF(AO$4=0,$P56,IF(AO$4&lt;4,$U56*(1+$C$137)^AO$4,IF(AO$4&gt;3,$Y56*(1+$C$137)^AO$4)))</f>
        <v>0</v>
      </c>
      <c r="AP56" s="149">
        <f>IF(AP$4=0,$P56,IF(AP$4&lt;4,$U56*(1+$C$137)^AP$4,IF(AP$4&gt;3,$Y56*(1+$C$137)^AP$4)))</f>
        <v>0</v>
      </c>
      <c r="AQ56" s="149">
        <f>IF(AQ$4=0,$P56,IF(AQ$4&lt;4,$U56*(1+$C$137)^AQ$4,IF(AQ$4&gt;3,$Y56*(1+$C$137)^AQ$4)))</f>
        <v>0</v>
      </c>
      <c r="AR56" s="149">
        <f>IF(AR$4=0,$P56,IF(AR$4&lt;4,$U56*(1+$C$137)^AR$4,IF(AR$4&gt;3,$Y56*(1+$C$137)^AR$4)))</f>
        <v>0</v>
      </c>
      <c r="AS56" s="149">
        <f>IF(AS$4=0,$P56,IF(AS$4&lt;4,$U56*(1+$C$137)^AS$4,IF(AS$4&gt;3,$Y56*(1+$C$137)^AS$4)))</f>
        <v>0</v>
      </c>
      <c r="AT56" s="149">
        <f>IF(AT$4=0,$P56,IF(AT$4&lt;4,$U56*(1+$C$137)^AT$4,IF(AT$4&gt;3,$Y56*(1+$C$137)^AT$4)))</f>
        <v>0</v>
      </c>
      <c r="AU56" s="149">
        <f>IF(AU$4=0,$P56,IF(AU$4&lt;4,$U56*(1+$C$137)^AU$4,IF(AU$4&gt;3,$Y56*(1+$C$137)^AU$4)))</f>
        <v>0</v>
      </c>
      <c r="AV56" s="149">
        <f>IF(AV$4=0,$P56,IF(AV$4&lt;4,$U56*(1+$C$137)^AV$4,IF(AV$4&gt;3,$Y56*(1+$C$137)^AV$4)))</f>
        <v>0</v>
      </c>
      <c r="AW56" s="149">
        <f>IF(AW$4=0,$P56,IF(AW$4&lt;4,$U56*(1+$C$137)^AW$4,IF(AW$4&gt;3,$Y56*(1+$C$137)^AW$4)))</f>
        <v>0</v>
      </c>
      <c r="AX56" s="149">
        <f>IF(AX$4=0,$P56,IF(AX$4&lt;4,$U56*(1+$C$137)^AX$4,IF(AX$4&gt;3,$Y56*(1+$C$137)^AX$4)))</f>
        <v>0</v>
      </c>
      <c r="AY56" s="149">
        <f>IF(AY$4=0,$P56,IF(AY$4&lt;4,$U56*(1+$C$137)^AY$4,IF(AY$4&gt;3,$Y56*(1+$C$137)^AY$4)))</f>
        <v>0</v>
      </c>
      <c r="AZ56" s="149">
        <f>IF(AZ$4=0,$P56,IF(AZ$4&lt;4,$U56*(1+$C$137)^AZ$4,IF(AZ$4&gt;3,$Y56*(1+$C$137)^AZ$4)))</f>
        <v>0</v>
      </c>
      <c r="BA56" s="149">
        <f>IF(BA$4=0,$P56,IF(BA$4&lt;4,$U56*(1+$C$137)^BA$4,IF(BA$4&gt;3,$Y56*(1+$C$137)^BA$4)))</f>
        <v>0</v>
      </c>
      <c r="BB56" s="149">
        <f>IF(BB$4=0,$P56,IF(BB$4&lt;4,$U56*(1+$C$137)^BB$4,IF(BB$4&gt;3,$Y56*(1+$C$137)^BB$4)))</f>
        <v>0</v>
      </c>
      <c r="BC56" s="149">
        <f>IF(BC$4=0,$P56,IF(BC$4&lt;4,$U56*(1+$C$137)^BC$4,IF(BC$4&gt;3,$Y56*(1+$C$137)^BC$4)))</f>
        <v>0</v>
      </c>
      <c r="BD56" s="149">
        <f>IF(BD$4=0,$P56,IF(BD$4&lt;4,$U56*(1+$C$137)^BD$4,IF(BD$4&gt;3,$Y56*(1+$C$137)^BD$4)))</f>
        <v>0</v>
      </c>
      <c r="BE56" s="149">
        <f>IF(BE$4=0,$P56,IF(BE$4&lt;4,$U56*(1+$C$137)^BE$4,IF(BE$4&gt;3,$Y56*(1+$C$137)^BE$4)))</f>
        <v>0</v>
      </c>
      <c r="BF56" s="149">
        <f>IF(BF$4=0,$P56,IF(BF$4&lt;4,$U56*(1+$C$137)^BF$4,IF(BF$4&gt;3,$Y56*(1+$C$137)^BF$4)))</f>
        <v>0</v>
      </c>
      <c r="BG56" s="149">
        <f>IF(BG$4=0,$P56,IF(BG$4&lt;4,$U56*(1+$C$137)^BG$4,IF(BG$4&gt;3,$Y56*(1+$C$137)^BG$4)))</f>
        <v>0</v>
      </c>
      <c r="BH56" s="149">
        <f>IF(BH$4=0,$P56,IF(BH$4&lt;4,$U56*(1+$C$137)^BH$4,IF(BH$4&gt;3,$Y56*(1+$C$137)^BH$4)))</f>
        <v>0</v>
      </c>
      <c r="BI56" s="149">
        <f>IF(BI$4=0,$P56,IF(BI$4&lt;4,$U56*(1+$C$137)^BI$4,IF(BI$4&gt;3,$Y56*(1+$C$137)^BI$4)))</f>
        <v>0</v>
      </c>
      <c r="BJ56" s="149">
        <f>IF(BJ$4=0,$P56,IF(BJ$4&lt;4,$U56*(1+$C$137)^BJ$4,IF(BJ$4&gt;3,$Y56*(1+$C$137)^BJ$4)))</f>
        <v>0</v>
      </c>
      <c r="BK56" s="149">
        <f>IF(BK$4=0,$P56,IF(BK$4&lt;4,$U56*(1+$C$137)^BK$4,IF(BK$4&gt;3,$Y56*(1+$C$137)^BK$4)))</f>
        <v>0</v>
      </c>
      <c r="BL56" s="149">
        <f>IF(BL$4=0,$P56,IF(BL$4&lt;4,$U56*(1+$C$137)^BL$4,IF(BL$4&gt;3,$Y56*(1+$C$137)^BL$4)))</f>
        <v>0</v>
      </c>
      <c r="BM56" s="149">
        <f>IF(BM$4=0,$P56,IF(BM$4&lt;4,$U56*(1+$C$137)^BM$4,IF(BM$4&gt;3,$Y56*(1+$C$137)^BM$4)))</f>
        <v>0</v>
      </c>
      <c r="BN56" s="149">
        <f>IF(BN$4=0,$P56,IF(BN$4&lt;4,$U56*(1+$C$137)^BN$4,IF(BN$4&gt;3,$Y56*(1+$C$137)^BN$4)))</f>
        <v>0</v>
      </c>
      <c r="BO56" s="149">
        <f>IF(BO$4=0,$P56,IF(BO$4&lt;4,$U56*(1+$C$137)^BO$4,IF(BO$4&gt;3,$Y56*(1+$C$137)^BO$4)))</f>
        <v>0</v>
      </c>
      <c r="BP56" s="149">
        <f>IF(BP$4=0,$P56,IF(BP$4&lt;4,$U56*(1+$C$137)^BP$4,IF(BP$4&gt;3,$Y56*(1+$C$137)^BP$4)))</f>
        <v>0</v>
      </c>
      <c r="BQ56" s="149">
        <f>IF(BQ$4=0,$P56,IF(BQ$4&lt;4,$U56*(1+$C$137)^BQ$4,IF(BQ$4&gt;3,$Y56*(1+$C$137)^BQ$4)))</f>
        <v>0</v>
      </c>
      <c r="BR56" s="149">
        <f>IF(BR$4=0,$P56,IF(BR$4&lt;4,$U56*(1+$C$137)^BR$4,IF(BR$4&gt;3,$Y56*(1+$C$137)^BR$4)))</f>
        <v>0</v>
      </c>
      <c r="BS56" s="149">
        <f>IF(BS$4=0,$P56,IF(BS$4&lt;4,$U56*(1+$C$137)^BS$4,IF(BS$4&gt;3,$Y56*(1+$C$137)^BS$4)))</f>
        <v>0</v>
      </c>
      <c r="BT56" s="1"/>
      <c r="BU56" s="14"/>
      <c r="BV56" s="93" t="str">
        <f>C56</f>
        <v>Arable weed/plant area</v>
      </c>
      <c r="BW56" s="14"/>
      <c r="BX56" s="93"/>
      <c r="BY56" s="14"/>
    </row>
    <row r="57" spans="1:77" ht="48" x14ac:dyDescent="0.2">
      <c r="A57" s="14"/>
      <c r="B57" s="1070"/>
      <c r="C57" s="98" t="s">
        <v>62</v>
      </c>
      <c r="D57" s="964" t="s">
        <v>126</v>
      </c>
      <c r="E57" s="49"/>
      <c r="F57" s="966"/>
      <c r="G57" s="421"/>
      <c r="H57" s="422"/>
      <c r="I57" s="98"/>
      <c r="J57" s="99"/>
      <c r="K57" s="423">
        <f>5000*2</f>
        <v>10000</v>
      </c>
      <c r="L57" s="96">
        <f t="shared" si="21"/>
        <v>0</v>
      </c>
      <c r="M57" s="98"/>
      <c r="N57" s="429">
        <v>12500</v>
      </c>
      <c r="O57" s="96">
        <f t="shared" si="22"/>
        <v>0</v>
      </c>
      <c r="P57" s="94">
        <f t="shared" si="23"/>
        <v>0</v>
      </c>
      <c r="Q57" s="424" t="s">
        <v>117</v>
      </c>
      <c r="R57" s="100" t="s">
        <v>127</v>
      </c>
      <c r="S57" s="425">
        <v>1</v>
      </c>
      <c r="T57" s="426">
        <f>(K57+N57)*0.2</f>
        <v>4500</v>
      </c>
      <c r="U57" s="96">
        <f t="shared" si="24"/>
        <v>0</v>
      </c>
      <c r="V57" s="98" t="s">
        <v>128</v>
      </c>
      <c r="W57" s="427">
        <v>0</v>
      </c>
      <c r="X57" s="428">
        <v>0</v>
      </c>
      <c r="Y57" s="961">
        <f t="shared" si="25"/>
        <v>0</v>
      </c>
      <c r="Z57" s="1"/>
      <c r="AA57" s="88">
        <f>NPV($C$136,AF57:BS57)+AE57</f>
        <v>0</v>
      </c>
      <c r="AB57" s="74"/>
      <c r="AC57" s="392"/>
      <c r="AD57" s="392"/>
      <c r="AE57" s="149">
        <f>IF(AE$4=0,$P57,IF(AE$4&lt;4,$U57*(1+$C$137)^AE$4,IF(AE$4&gt;3,$Y57*(1+$C$137)^AE$4)))</f>
        <v>0</v>
      </c>
      <c r="AF57" s="149">
        <f>IF(AF$4=0,$P57,IF(AF$4&lt;4,$U57*(1+$C$137)^AF$4,IF(AF$4&gt;3,$Y57*(1+$C$137)^AF$4)))</f>
        <v>0</v>
      </c>
      <c r="AG57" s="149">
        <f>IF(AG$4=0,$P57,IF(AG$4&lt;4,$U57*(1+$C$137)^AG$4,IF(AG$4&gt;3,$Y57*(1+$C$137)^AG$4)))</f>
        <v>0</v>
      </c>
      <c r="AH57" s="149">
        <f>IF(AH$4=0,$P57,IF(AH$4&lt;4,$U57*(1+$C$137)^AH$4,IF(AH$4&gt;3,$Y57*(1+$C$137)^AH$4)))</f>
        <v>0</v>
      </c>
      <c r="AI57" s="149">
        <f>IF(AI$4=0,$P57,IF(AI$4&lt;4,$U57*(1+$C$137)^AI$4,IF(AI$4&gt;3,$Y57*(1+$C$137)^AI$4)))</f>
        <v>0</v>
      </c>
      <c r="AJ57" s="149">
        <f>IF(AJ$4=0,$P57,IF(AJ$4&lt;4,$U57*(1+$C$137)^AJ$4,IF(AJ$4&gt;3,$Y57*(1+$C$137)^AJ$4)))</f>
        <v>0</v>
      </c>
      <c r="AK57" s="149">
        <f>IF(AK$4=0,$P57,IF(AK$4&lt;4,$U57*(1+$C$137)^AK$4,IF(AK$4&gt;3,$Y57*(1+$C$137)^AK$4)))</f>
        <v>0</v>
      </c>
      <c r="AL57" s="149">
        <f>IF(AL$4=0,$P57,IF(AL$4&lt;4,$U57*(1+$C$137)^AL$4,IF(AL$4&gt;3,$Y57*(1+$C$137)^AL$4)))</f>
        <v>0</v>
      </c>
      <c r="AM57" s="149">
        <f>IF(AM$4=0,$P57,IF(AM$4&lt;4,$U57*(1+$C$137)^AM$4,IF(AM$4&gt;3,$Y57*(1+$C$137)^AM$4)))</f>
        <v>0</v>
      </c>
      <c r="AN57" s="149">
        <f>IF(AN$4=0,$P57,IF(AN$4&lt;4,$U57*(1+$C$137)^AN$4,IF(AN$4&gt;3,$Y57*(1+$C$137)^AN$4)))</f>
        <v>0</v>
      </c>
      <c r="AO57" s="149">
        <f>IF(AO$4=0,$P57,IF(AO$4&lt;4,$U57*(1+$C$137)^AO$4,IF(AO$4&gt;3,$Y57*(1+$C$137)^AO$4)))</f>
        <v>0</v>
      </c>
      <c r="AP57" s="149">
        <f>IF(AP$4=0,$P57,IF(AP$4&lt;4,$U57*(1+$C$137)^AP$4,IF(AP$4&gt;3,$Y57*(1+$C$137)^AP$4)))</f>
        <v>0</v>
      </c>
      <c r="AQ57" s="149">
        <f>IF(AQ$4=0,$P57,IF(AQ$4&lt;4,$U57*(1+$C$137)^AQ$4,IF(AQ$4&gt;3,$Y57*(1+$C$137)^AQ$4)))</f>
        <v>0</v>
      </c>
      <c r="AR57" s="149">
        <f>IF(AR$4=0,$P57,IF(AR$4&lt;4,$U57*(1+$C$137)^AR$4,IF(AR$4&gt;3,$Y57*(1+$C$137)^AR$4)))</f>
        <v>0</v>
      </c>
      <c r="AS57" s="149">
        <f>IF(AS$4=0,$P57,IF(AS$4&lt;4,$U57*(1+$C$137)^AS$4,IF(AS$4&gt;3,$Y57*(1+$C$137)^AS$4)))</f>
        <v>0</v>
      </c>
      <c r="AT57" s="149">
        <f>IF(AT$4=0,$P57,IF(AT$4&lt;4,$U57*(1+$C$137)^AT$4,IF(AT$4&gt;3,$Y57*(1+$C$137)^AT$4)))</f>
        <v>0</v>
      </c>
      <c r="AU57" s="149">
        <f>IF(AU$4=0,$P57,IF(AU$4&lt;4,$U57*(1+$C$137)^AU$4,IF(AU$4&gt;3,$Y57*(1+$C$137)^AU$4)))</f>
        <v>0</v>
      </c>
      <c r="AV57" s="149">
        <f>IF(AV$4=0,$P57,IF(AV$4&lt;4,$U57*(1+$C$137)^AV$4,IF(AV$4&gt;3,$Y57*(1+$C$137)^AV$4)))</f>
        <v>0</v>
      </c>
      <c r="AW57" s="149">
        <f>IF(AW$4=0,$P57,IF(AW$4&lt;4,$U57*(1+$C$137)^AW$4,IF(AW$4&gt;3,$Y57*(1+$C$137)^AW$4)))</f>
        <v>0</v>
      </c>
      <c r="AX57" s="149">
        <f>IF(AX$4=0,$P57,IF(AX$4&lt;4,$U57*(1+$C$137)^AX$4,IF(AX$4&gt;3,$Y57*(1+$C$137)^AX$4)))</f>
        <v>0</v>
      </c>
      <c r="AY57" s="149">
        <f>IF(AY$4=0,$P57,IF(AY$4&lt;4,$U57*(1+$C$137)^AY$4,IF(AY$4&gt;3,$Y57*(1+$C$137)^AY$4)))</f>
        <v>0</v>
      </c>
      <c r="AZ57" s="149">
        <f>IF(AZ$4=0,$P57,IF(AZ$4&lt;4,$U57*(1+$C$137)^AZ$4,IF(AZ$4&gt;3,$Y57*(1+$C$137)^AZ$4)))</f>
        <v>0</v>
      </c>
      <c r="BA57" s="149">
        <f>IF(BA$4=0,$P57,IF(BA$4&lt;4,$U57*(1+$C$137)^BA$4,IF(BA$4&gt;3,$Y57*(1+$C$137)^BA$4)))</f>
        <v>0</v>
      </c>
      <c r="BB57" s="149">
        <f>IF(BB$4=0,$P57,IF(BB$4&lt;4,$U57*(1+$C$137)^BB$4,IF(BB$4&gt;3,$Y57*(1+$C$137)^BB$4)))</f>
        <v>0</v>
      </c>
      <c r="BC57" s="149">
        <f>IF(BC$4=0,$P57,IF(BC$4&lt;4,$U57*(1+$C$137)^BC$4,IF(BC$4&gt;3,$Y57*(1+$C$137)^BC$4)))</f>
        <v>0</v>
      </c>
      <c r="BD57" s="149">
        <f>IF(BD$4=0,$P57,IF(BD$4&lt;4,$U57*(1+$C$137)^BD$4,IF(BD$4&gt;3,$Y57*(1+$C$137)^BD$4)))</f>
        <v>0</v>
      </c>
      <c r="BE57" s="149">
        <f>IF(BE$4=0,$P57,IF(BE$4&lt;4,$U57*(1+$C$137)^BE$4,IF(BE$4&gt;3,$Y57*(1+$C$137)^BE$4)))</f>
        <v>0</v>
      </c>
      <c r="BF57" s="149">
        <f>IF(BF$4=0,$P57,IF(BF$4&lt;4,$U57*(1+$C$137)^BF$4,IF(BF$4&gt;3,$Y57*(1+$C$137)^BF$4)))</f>
        <v>0</v>
      </c>
      <c r="BG57" s="149">
        <f>IF(BG$4=0,$P57,IF(BG$4&lt;4,$U57*(1+$C$137)^BG$4,IF(BG$4&gt;3,$Y57*(1+$C$137)^BG$4)))</f>
        <v>0</v>
      </c>
      <c r="BH57" s="149">
        <f>IF(BH$4=0,$P57,IF(BH$4&lt;4,$U57*(1+$C$137)^BH$4,IF(BH$4&gt;3,$Y57*(1+$C$137)^BH$4)))</f>
        <v>0</v>
      </c>
      <c r="BI57" s="149">
        <f>IF(BI$4=0,$P57,IF(BI$4&lt;4,$U57*(1+$C$137)^BI$4,IF(BI$4&gt;3,$Y57*(1+$C$137)^BI$4)))</f>
        <v>0</v>
      </c>
      <c r="BJ57" s="149">
        <f>IF(BJ$4=0,$P57,IF(BJ$4&lt;4,$U57*(1+$C$137)^BJ$4,IF(BJ$4&gt;3,$Y57*(1+$C$137)^BJ$4)))</f>
        <v>0</v>
      </c>
      <c r="BK57" s="149">
        <f>IF(BK$4=0,$P57,IF(BK$4&lt;4,$U57*(1+$C$137)^BK$4,IF(BK$4&gt;3,$Y57*(1+$C$137)^BK$4)))</f>
        <v>0</v>
      </c>
      <c r="BL57" s="149">
        <f>IF(BL$4=0,$P57,IF(BL$4&lt;4,$U57*(1+$C$137)^BL$4,IF(BL$4&gt;3,$Y57*(1+$C$137)^BL$4)))</f>
        <v>0</v>
      </c>
      <c r="BM57" s="149">
        <f>IF(BM$4=0,$P57,IF(BM$4&lt;4,$U57*(1+$C$137)^BM$4,IF(BM$4&gt;3,$Y57*(1+$C$137)^BM$4)))</f>
        <v>0</v>
      </c>
      <c r="BN57" s="149">
        <f>IF(BN$4=0,$P57,IF(BN$4&lt;4,$U57*(1+$C$137)^BN$4,IF(BN$4&gt;3,$Y57*(1+$C$137)^BN$4)))</f>
        <v>0</v>
      </c>
      <c r="BO57" s="149">
        <f>IF(BO$4=0,$P57,IF(BO$4&lt;4,$U57*(1+$C$137)^BO$4,IF(BO$4&gt;3,$Y57*(1+$C$137)^BO$4)))</f>
        <v>0</v>
      </c>
      <c r="BP57" s="149">
        <f>IF(BP$4=0,$P57,IF(BP$4&lt;4,$U57*(1+$C$137)^BP$4,IF(BP$4&gt;3,$Y57*(1+$C$137)^BP$4)))</f>
        <v>0</v>
      </c>
      <c r="BQ57" s="149">
        <f>IF(BQ$4=0,$P57,IF(BQ$4&lt;4,$U57*(1+$C$137)^BQ$4,IF(BQ$4&gt;3,$Y57*(1+$C$137)^BQ$4)))</f>
        <v>0</v>
      </c>
      <c r="BR57" s="149">
        <f>IF(BR$4=0,$P57,IF(BR$4&lt;4,$U57*(1+$C$137)^BR$4,IF(BR$4&gt;3,$Y57*(1+$C$137)^BR$4)))</f>
        <v>0</v>
      </c>
      <c r="BS57" s="149">
        <f>IF(BS$4=0,$P57,IF(BS$4&lt;4,$U57*(1+$C$137)^BS$4,IF(BS$4&gt;3,$Y57*(1+$C$137)^BS$4)))</f>
        <v>0</v>
      </c>
      <c r="BT57" s="1"/>
      <c r="BU57" s="14"/>
      <c r="BV57" s="93" t="str">
        <f>C57</f>
        <v>Heathland / heather</v>
      </c>
      <c r="BW57" s="14"/>
      <c r="BX57" s="93"/>
      <c r="BY57" s="14"/>
    </row>
    <row r="58" spans="1:77" ht="32" x14ac:dyDescent="0.2">
      <c r="A58" s="14"/>
      <c r="B58" s="1071"/>
      <c r="C58" s="430" t="s">
        <v>63</v>
      </c>
      <c r="D58" s="967" t="s">
        <v>63</v>
      </c>
      <c r="E58" s="432"/>
      <c r="F58" s="433">
        <v>4</v>
      </c>
      <c r="G58" s="434"/>
      <c r="H58" s="435"/>
      <c r="I58" s="430" t="s">
        <v>64</v>
      </c>
      <c r="J58" s="436" t="s">
        <v>58</v>
      </c>
      <c r="K58" s="437">
        <v>2060</v>
      </c>
      <c r="L58" s="111">
        <f t="shared" si="21"/>
        <v>8240</v>
      </c>
      <c r="M58" s="430" t="s">
        <v>59</v>
      </c>
      <c r="N58" s="438">
        <v>250</v>
      </c>
      <c r="O58" s="111">
        <f t="shared" si="22"/>
        <v>1000</v>
      </c>
      <c r="P58" s="109">
        <f t="shared" si="23"/>
        <v>9240</v>
      </c>
      <c r="Q58" s="439" t="s">
        <v>117</v>
      </c>
      <c r="R58" s="143" t="s">
        <v>129</v>
      </c>
      <c r="S58" s="440">
        <v>0.5</v>
      </c>
      <c r="T58" s="441">
        <v>75</v>
      </c>
      <c r="U58" s="111">
        <f t="shared" si="24"/>
        <v>150</v>
      </c>
      <c r="V58" s="430" t="s">
        <v>119</v>
      </c>
      <c r="W58" s="442">
        <v>0.5</v>
      </c>
      <c r="X58" s="443">
        <v>75</v>
      </c>
      <c r="Y58" s="968">
        <f t="shared" si="25"/>
        <v>150</v>
      </c>
      <c r="Z58" s="1"/>
      <c r="AA58" s="88">
        <f>NPV($C$136,AF58:BS58)+AE58</f>
        <v>12044.025580558069</v>
      </c>
      <c r="AB58" s="74"/>
      <c r="AC58" s="392"/>
      <c r="AD58" s="392"/>
      <c r="AE58" s="149">
        <f>IF(AE$4=0,$P58,IF(AE$4&lt;4,$U58*(1+$C$137)^AE$4,IF(AE$4&gt;3,$Y58*(1+$C$137)^AE$4)))</f>
        <v>9240</v>
      </c>
      <c r="AF58" s="149">
        <f>IF(AF$4=0,$P58,IF(AF$4&lt;4,$U58*(1+$C$137)^AF$4,IF(AF$4&gt;3,$Y58*(1+$C$137)^AF$4)))</f>
        <v>153.75</v>
      </c>
      <c r="AG58" s="149">
        <f>IF(AG$4=0,$P58,IF(AG$4&lt;4,$U58*(1+$C$137)^AG$4,IF(AG$4&gt;3,$Y58*(1+$C$137)^AG$4)))</f>
        <v>157.59375</v>
      </c>
      <c r="AH58" s="149">
        <f>IF(AH$4=0,$P58,IF(AH$4&lt;4,$U58*(1+$C$137)^AH$4,IF(AH$4&gt;3,$Y58*(1+$C$137)^AH$4)))</f>
        <v>161.53359374999999</v>
      </c>
      <c r="AI58" s="149">
        <f>IF(AI$4=0,$P58,IF(AI$4&lt;4,$U58*(1+$C$137)^AI$4,IF(AI$4&gt;3,$Y58*(1+$C$137)^AI$4)))</f>
        <v>165.57193359374997</v>
      </c>
      <c r="AJ58" s="149">
        <f>IF(AJ$4=0,$P58,IF(AJ$4&lt;4,$U58*(1+$C$137)^AJ$4,IF(AJ$4&gt;3,$Y58*(1+$C$137)^AJ$4)))</f>
        <v>169.71123193359369</v>
      </c>
      <c r="AK58" s="149">
        <f>IF(AK$4=0,$P58,IF(AK$4&lt;4,$U58*(1+$C$137)^AK$4,IF(AK$4&gt;3,$Y58*(1+$C$137)^AK$4)))</f>
        <v>173.95401273193352</v>
      </c>
      <c r="AL58" s="149">
        <f>IF(AL$4=0,$P58,IF(AL$4&lt;4,$U58*(1+$C$137)^AL$4,IF(AL$4&gt;3,$Y58*(1+$C$137)^AL$4)))</f>
        <v>178.30286305023188</v>
      </c>
      <c r="AM58" s="149">
        <f>IF(AM$4=0,$P58,IF(AM$4&lt;4,$U58*(1+$C$137)^AM$4,IF(AM$4&gt;3,$Y58*(1+$C$137)^AM$4)))</f>
        <v>182.76043462648767</v>
      </c>
      <c r="AN58" s="149">
        <f>IF(AN$4=0,$P58,IF(AN$4&lt;4,$U58*(1+$C$137)^AN$4,IF(AN$4&gt;3,$Y58*(1+$C$137)^AN$4)))</f>
        <v>187.3294454921498</v>
      </c>
      <c r="AO58" s="149">
        <f>IF(AO$4=0,$P58,IF(AO$4&lt;4,$U58*(1+$C$137)^AO$4,IF(AO$4&gt;3,$Y58*(1+$C$137)^AO$4)))</f>
        <v>192.01268162945357</v>
      </c>
      <c r="AP58" s="149">
        <f>IF(AP$4=0,$P58,IF(AP$4&lt;4,$U58*(1+$C$137)^AP$4,IF(AP$4&gt;3,$Y58*(1+$C$137)^AP$4)))</f>
        <v>196.8129986701899</v>
      </c>
      <c r="AQ58" s="149">
        <f>IF(AQ$4=0,$P58,IF(AQ$4&lt;4,$U58*(1+$C$137)^AQ$4,IF(AQ$4&gt;3,$Y58*(1+$C$137)^AQ$4)))</f>
        <v>201.73332363694462</v>
      </c>
      <c r="AR58" s="149">
        <f>IF(AR$4=0,$P58,IF(AR$4&lt;4,$U58*(1+$C$137)^AR$4,IF(AR$4&gt;3,$Y58*(1+$C$137)^AR$4)))</f>
        <v>206.77665672786824</v>
      </c>
      <c r="AS58" s="149">
        <f>IF(AS$4=0,$P58,IF(AS$4&lt;4,$U58*(1+$C$137)^AS$4,IF(AS$4&gt;3,$Y58*(1+$C$137)^AS$4)))</f>
        <v>211.94607314606492</v>
      </c>
      <c r="AT58" s="149">
        <f>IF(AT$4=0,$P58,IF(AT$4&lt;4,$U58*(1+$C$137)^AT$4,IF(AT$4&gt;3,$Y58*(1+$C$137)^AT$4)))</f>
        <v>217.24472497471658</v>
      </c>
      <c r="AU58" s="149">
        <f>IF(AU$4=0,$P58,IF(AU$4&lt;4,$U58*(1+$C$137)^AU$4,IF(AU$4&gt;3,$Y58*(1+$C$137)^AU$4)))</f>
        <v>222.67584309908446</v>
      </c>
      <c r="AV58" s="149">
        <f>IF(AV$4=0,$P58,IF(AV$4&lt;4,$U58*(1+$C$137)^AV$4,IF(AV$4&gt;3,$Y58*(1+$C$137)^AV$4)))</f>
        <v>228.24273917656154</v>
      </c>
      <c r="AW58" s="149">
        <f>IF(AW$4=0,$P58,IF(AW$4&lt;4,$U58*(1+$C$137)^AW$4,IF(AW$4&gt;3,$Y58*(1+$C$137)^AW$4)))</f>
        <v>233.9488076559756</v>
      </c>
      <c r="AX58" s="149">
        <f>IF(AX$4=0,$P58,IF(AX$4&lt;4,$U58*(1+$C$137)^AX$4,IF(AX$4&gt;3,$Y58*(1+$C$137)^AX$4)))</f>
        <v>239.79752784737499</v>
      </c>
      <c r="AY58" s="149">
        <f>IF(AY$4=0,$P58,IF(AY$4&lt;4,$U58*(1+$C$137)^AY$4,IF(AY$4&gt;3,$Y58*(1+$C$137)^AY$4)))</f>
        <v>245.79246604355933</v>
      </c>
      <c r="AZ58" s="149">
        <f>IF(AZ$4=0,$P58,IF(AZ$4&lt;4,$U58*(1+$C$137)^AZ$4,IF(AZ$4&gt;3,$Y58*(1+$C$137)^AZ$4)))</f>
        <v>251.93727769464829</v>
      </c>
      <c r="BA58" s="149">
        <f>IF(BA$4=0,$P58,IF(BA$4&lt;4,$U58*(1+$C$137)^BA$4,IF(BA$4&gt;3,$Y58*(1+$C$137)^BA$4)))</f>
        <v>258.23570963701451</v>
      </c>
      <c r="BB58" s="149">
        <f>IF(BB$4=0,$P58,IF(BB$4&lt;4,$U58*(1+$C$137)^BB$4,IF(BB$4&gt;3,$Y58*(1+$C$137)^BB$4)))</f>
        <v>264.69160237793989</v>
      </c>
      <c r="BC58" s="149">
        <f>IF(BC$4=0,$P58,IF(BC$4&lt;4,$U58*(1+$C$137)^BC$4,IF(BC$4&gt;3,$Y58*(1+$C$137)^BC$4)))</f>
        <v>271.30889243738835</v>
      </c>
      <c r="BD58" s="149">
        <f>IF(BD$4=0,$P58,IF(BD$4&lt;4,$U58*(1+$C$137)^BD$4,IF(BD$4&gt;3,$Y58*(1+$C$137)^BD$4)))</f>
        <v>278.09161474832302</v>
      </c>
      <c r="BE58" s="149">
        <f>IF(BE$4=0,$P58,IF(BE$4&lt;4,$U58*(1+$C$137)^BE$4,IF(BE$4&gt;3,$Y58*(1+$C$137)^BE$4)))</f>
        <v>285.04390511703104</v>
      </c>
      <c r="BF58" s="149">
        <f>IF(BF$4=0,$P58,IF(BF$4&lt;4,$U58*(1+$C$137)^BF$4,IF(BF$4&gt;3,$Y58*(1+$C$137)^BF$4)))</f>
        <v>292.17000274495683</v>
      </c>
      <c r="BG58" s="149">
        <f>IF(BG$4=0,$P58,IF(BG$4&lt;4,$U58*(1+$C$137)^BG$4,IF(BG$4&gt;3,$Y58*(1+$C$137)^BG$4)))</f>
        <v>299.47425281358073</v>
      </c>
      <c r="BH58" s="149">
        <f>IF(BH$4=0,$P58,IF(BH$4&lt;4,$U58*(1+$C$137)^BH$4,IF(BH$4&gt;3,$Y58*(1+$C$137)^BH$4)))</f>
        <v>306.96110913392027</v>
      </c>
      <c r="BI58" s="149">
        <f>IF(BI$4=0,$P58,IF(BI$4&lt;4,$U58*(1+$C$137)^BI$4,IF(BI$4&gt;3,$Y58*(1+$C$137)^BI$4)))</f>
        <v>314.63513686226821</v>
      </c>
      <c r="BJ58" s="149">
        <f>IF(BJ$4=0,$P58,IF(BJ$4&lt;4,$U58*(1+$C$137)^BJ$4,IF(BJ$4&gt;3,$Y58*(1+$C$137)^BJ$4)))</f>
        <v>322.50101528382498</v>
      </c>
      <c r="BK58" s="149">
        <f>IF(BK$4=0,$P58,IF(BK$4&lt;4,$U58*(1+$C$137)^BK$4,IF(BK$4&gt;3,$Y58*(1+$C$137)^BK$4)))</f>
        <v>330.56354066592053</v>
      </c>
      <c r="BL58" s="149">
        <f>IF(BL$4=0,$P58,IF(BL$4&lt;4,$U58*(1+$C$137)^BL$4,IF(BL$4&gt;3,$Y58*(1+$C$137)^BL$4)))</f>
        <v>338.82762918256856</v>
      </c>
      <c r="BM58" s="149">
        <f>IF(BM$4=0,$P58,IF(BM$4&lt;4,$U58*(1+$C$137)^BM$4,IF(BM$4&gt;3,$Y58*(1+$C$137)^BM$4)))</f>
        <v>347.29831991213274</v>
      </c>
      <c r="BN58" s="149">
        <f>IF(BN$4=0,$P58,IF(BN$4&lt;4,$U58*(1+$C$137)^BN$4,IF(BN$4&gt;3,$Y58*(1+$C$137)^BN$4)))</f>
        <v>355.98077790993602</v>
      </c>
      <c r="BO58" s="149">
        <f>IF(BO$4=0,$P58,IF(BO$4&lt;4,$U58*(1+$C$137)^BO$4,IF(BO$4&gt;3,$Y58*(1+$C$137)^BO$4)))</f>
        <v>364.88029735768447</v>
      </c>
      <c r="BP58" s="149">
        <f>IF(BP$4=0,$P58,IF(BP$4&lt;4,$U58*(1+$C$137)^BP$4,IF(BP$4&gt;3,$Y58*(1+$C$137)^BP$4)))</f>
        <v>374.0023047916265</v>
      </c>
      <c r="BQ58" s="149">
        <f>IF(BQ$4=0,$P58,IF(BQ$4&lt;4,$U58*(1+$C$137)^BQ$4,IF(BQ$4&gt;3,$Y58*(1+$C$137)^BQ$4)))</f>
        <v>383.35236241141712</v>
      </c>
      <c r="BR58" s="149">
        <f>IF(BR$4=0,$P58,IF(BR$4&lt;4,$U58*(1+$C$137)^BR$4,IF(BR$4&gt;3,$Y58*(1+$C$137)^BR$4)))</f>
        <v>392.93617147170255</v>
      </c>
      <c r="BS58" s="149">
        <f>IF(BS$4=0,$P58,IF(BS$4&lt;4,$U58*(1+$C$137)^BS$4,IF(BS$4&gt;3,$Y58*(1+$C$137)^BS$4)))</f>
        <v>402.75957575849509</v>
      </c>
      <c r="BT58" s="1"/>
      <c r="BU58" s="14"/>
      <c r="BV58" s="93" t="str">
        <f>C58</f>
        <v>Tussock grassland</v>
      </c>
      <c r="BW58" s="14"/>
      <c r="BX58" s="93"/>
      <c r="BY58" s="14"/>
    </row>
    <row r="59" spans="1:77" ht="64" x14ac:dyDescent="0.15">
      <c r="A59" s="14"/>
      <c r="B59" s="1097" t="s">
        <v>35</v>
      </c>
      <c r="C59" s="1098" t="s">
        <v>65</v>
      </c>
      <c r="D59" s="65" t="s">
        <v>66</v>
      </c>
      <c r="E59" s="66" t="s">
        <v>67</v>
      </c>
      <c r="F59" s="444">
        <v>0.18099999999999999</v>
      </c>
      <c r="G59" s="445"/>
      <c r="H59" s="446">
        <v>804</v>
      </c>
      <c r="I59" s="14" t="s">
        <v>68</v>
      </c>
      <c r="J59" s="114" t="s">
        <v>69</v>
      </c>
      <c r="K59" s="447">
        <v>1.5</v>
      </c>
      <c r="L59" s="164">
        <f t="shared" si="21"/>
        <v>1206</v>
      </c>
      <c r="M59" s="14" t="s">
        <v>70</v>
      </c>
      <c r="N59" s="448">
        <v>1.5</v>
      </c>
      <c r="O59" s="164">
        <f t="shared" si="22"/>
        <v>1206</v>
      </c>
      <c r="P59" s="102">
        <f t="shared" si="23"/>
        <v>2412</v>
      </c>
      <c r="Q59" s="2" t="s">
        <v>71</v>
      </c>
      <c r="R59" s="103" t="s">
        <v>72</v>
      </c>
      <c r="S59" s="449">
        <v>1</v>
      </c>
      <c r="T59" s="450">
        <f>O59*0.1</f>
        <v>120.60000000000001</v>
      </c>
      <c r="U59" s="451">
        <f t="shared" ref="U59:U67" si="26">S59*T59</f>
        <v>120.60000000000001</v>
      </c>
      <c r="V59" s="452" t="s">
        <v>74</v>
      </c>
      <c r="W59" s="453">
        <f t="shared" ref="W59:W61" si="27">1/3</f>
        <v>0.33333333333333331</v>
      </c>
      <c r="X59" s="454" t="s">
        <v>117</v>
      </c>
      <c r="Y59" s="455">
        <v>350</v>
      </c>
      <c r="Z59" s="115"/>
      <c r="AA59" s="88">
        <f>NPV($C$136,AF59:BS59)+AE59</f>
        <v>8322.806428457392</v>
      </c>
      <c r="AB59" s="74"/>
      <c r="AC59" s="392"/>
      <c r="AD59" s="392"/>
      <c r="AE59" s="149">
        <f>IF(AE$4=0,$P59,IF(AE$4&lt;4,$U59*(1+$C$137)^AE$4,IF(AE$4&gt;3,$Y59*(1+$C$137)^AE$4)))</f>
        <v>2412</v>
      </c>
      <c r="AF59" s="149">
        <f>IF(AF$4=0,$P59,IF(AF$4&lt;4,$U59*(1+$C$137)^AF$4,IF(AF$4&gt;3,$Y59*(1+$C$137)^AF$4)))</f>
        <v>123.61499999999999</v>
      </c>
      <c r="AG59" s="149">
        <f>IF(AG$4=0,$P59,IF(AG$4&lt;4,$U59*(1+$C$137)^AG$4,IF(AG$4&gt;3,$Y59*(1+$C$137)^AG$4)))</f>
        <v>126.705375</v>
      </c>
      <c r="AH59" s="149">
        <f>IF(AH$4=0,$P59,IF(AH$4&lt;4,$U59*(1+$C$137)^AH$4,IF(AH$4&gt;3,$Y59*(1+$C$137)^AH$4)))</f>
        <v>129.87300937499998</v>
      </c>
      <c r="AI59" s="149">
        <f>IF(AI$4=0,$P59,IF(AI$4&lt;4,$U59*(1+$C$137)^AI$4,IF(AI$4&gt;3,$Y59*(1+$C$137)^AI$4)))</f>
        <v>386.33451171874992</v>
      </c>
      <c r="AJ59" s="149">
        <f>IF(AJ$4=0,$P59,IF(AJ$4&lt;4,$U59*(1+$C$137)^AJ$4,IF(AJ$4&gt;3,$Y59*(1+$C$137)^AJ$4)))</f>
        <v>395.99287451171864</v>
      </c>
      <c r="AK59" s="149">
        <f>IF(AK$4=0,$P59,IF(AK$4&lt;4,$U59*(1+$C$137)^AK$4,IF(AK$4&gt;3,$Y59*(1+$C$137)^AK$4)))</f>
        <v>405.89269637451156</v>
      </c>
      <c r="AL59" s="149">
        <f>IF(AL$4=0,$P59,IF(AL$4&lt;4,$U59*(1+$C$137)^AL$4,IF(AL$4&gt;3,$Y59*(1+$C$137)^AL$4)))</f>
        <v>416.04001378387437</v>
      </c>
      <c r="AM59" s="149">
        <f>IF(AM$4=0,$P59,IF(AM$4&lt;4,$U59*(1+$C$137)^AM$4,IF(AM$4&gt;3,$Y59*(1+$C$137)^AM$4)))</f>
        <v>426.44101412847118</v>
      </c>
      <c r="AN59" s="149">
        <f>IF(AN$4=0,$P59,IF(AN$4&lt;4,$U59*(1+$C$137)^AN$4,IF(AN$4&gt;3,$Y59*(1+$C$137)^AN$4)))</f>
        <v>437.10203948168288</v>
      </c>
      <c r="AO59" s="149">
        <f>IF(AO$4=0,$P59,IF(AO$4&lt;4,$U59*(1+$C$137)^AO$4,IF(AO$4&gt;3,$Y59*(1+$C$137)^AO$4)))</f>
        <v>448.02959046872496</v>
      </c>
      <c r="AP59" s="149">
        <f>IF(AP$4=0,$P59,IF(AP$4&lt;4,$U59*(1+$C$137)^AP$4,IF(AP$4&gt;3,$Y59*(1+$C$137)^AP$4)))</f>
        <v>459.23033023044309</v>
      </c>
      <c r="AQ59" s="149">
        <f>IF(AQ$4=0,$P59,IF(AQ$4&lt;4,$U59*(1+$C$137)^AQ$4,IF(AQ$4&gt;3,$Y59*(1+$C$137)^AQ$4)))</f>
        <v>470.71108848620412</v>
      </c>
      <c r="AR59" s="149">
        <f>IF(AR$4=0,$P59,IF(AR$4&lt;4,$U59*(1+$C$137)^AR$4,IF(AR$4&gt;3,$Y59*(1+$C$137)^AR$4)))</f>
        <v>482.47886569835924</v>
      </c>
      <c r="AS59" s="149">
        <f>IF(AS$4=0,$P59,IF(AS$4&lt;4,$U59*(1+$C$137)^AS$4,IF(AS$4&gt;3,$Y59*(1+$C$137)^AS$4)))</f>
        <v>494.54083734081814</v>
      </c>
      <c r="AT59" s="149">
        <f>IF(AT$4=0,$P59,IF(AT$4&lt;4,$U59*(1+$C$137)^AT$4,IF(AT$4&gt;3,$Y59*(1+$C$137)^AT$4)))</f>
        <v>506.90435827433868</v>
      </c>
      <c r="AU59" s="149">
        <f>IF(AU$4=0,$P59,IF(AU$4&lt;4,$U59*(1+$C$137)^AU$4,IF(AU$4&gt;3,$Y59*(1+$C$137)^AU$4)))</f>
        <v>519.57696723119705</v>
      </c>
      <c r="AV59" s="149">
        <f>IF(AV$4=0,$P59,IF(AV$4&lt;4,$U59*(1+$C$137)^AV$4,IF(AV$4&gt;3,$Y59*(1+$C$137)^AV$4)))</f>
        <v>532.56639141197695</v>
      </c>
      <c r="AW59" s="149">
        <f>IF(AW$4=0,$P59,IF(AW$4&lt;4,$U59*(1+$C$137)^AW$4,IF(AW$4&gt;3,$Y59*(1+$C$137)^AW$4)))</f>
        <v>545.88055119727642</v>
      </c>
      <c r="AX59" s="149">
        <f>IF(AX$4=0,$P59,IF(AX$4&lt;4,$U59*(1+$C$137)^AX$4,IF(AX$4&gt;3,$Y59*(1+$C$137)^AX$4)))</f>
        <v>559.52756497720827</v>
      </c>
      <c r="AY59" s="149">
        <f>IF(AY$4=0,$P59,IF(AY$4&lt;4,$U59*(1+$C$137)^AY$4,IF(AY$4&gt;3,$Y59*(1+$C$137)^AY$4)))</f>
        <v>573.51575410163844</v>
      </c>
      <c r="AZ59" s="149">
        <f>IF(AZ$4=0,$P59,IF(AZ$4&lt;4,$U59*(1+$C$137)^AZ$4,IF(AZ$4&gt;3,$Y59*(1+$C$137)^AZ$4)))</f>
        <v>587.85364795417934</v>
      </c>
      <c r="BA59" s="149">
        <f>IF(BA$4=0,$P59,IF(BA$4&lt;4,$U59*(1+$C$137)^BA$4,IF(BA$4&gt;3,$Y59*(1+$C$137)^BA$4)))</f>
        <v>602.54998915303383</v>
      </c>
      <c r="BB59" s="149">
        <f>IF(BB$4=0,$P59,IF(BB$4&lt;4,$U59*(1+$C$137)^BB$4,IF(BB$4&gt;3,$Y59*(1+$C$137)^BB$4)))</f>
        <v>617.61373888185972</v>
      </c>
      <c r="BC59" s="149">
        <f>IF(BC$4=0,$P59,IF(BC$4&lt;4,$U59*(1+$C$137)^BC$4,IF(BC$4&gt;3,$Y59*(1+$C$137)^BC$4)))</f>
        <v>633.0540823539061</v>
      </c>
      <c r="BD59" s="149">
        <f>IF(BD$4=0,$P59,IF(BD$4&lt;4,$U59*(1+$C$137)^BD$4,IF(BD$4&gt;3,$Y59*(1+$C$137)^BD$4)))</f>
        <v>648.88043441275363</v>
      </c>
      <c r="BE59" s="149">
        <f>IF(BE$4=0,$P59,IF(BE$4&lt;4,$U59*(1+$C$137)^BE$4,IF(BE$4&gt;3,$Y59*(1+$C$137)^BE$4)))</f>
        <v>665.10244527307248</v>
      </c>
      <c r="BF59" s="149">
        <f>IF(BF$4=0,$P59,IF(BF$4&lt;4,$U59*(1+$C$137)^BF$4,IF(BF$4&gt;3,$Y59*(1+$C$137)^BF$4)))</f>
        <v>681.73000640489931</v>
      </c>
      <c r="BG59" s="149">
        <f>IF(BG$4=0,$P59,IF(BG$4&lt;4,$U59*(1+$C$137)^BG$4,IF(BG$4&gt;3,$Y59*(1+$C$137)^BG$4)))</f>
        <v>698.77325656502171</v>
      </c>
      <c r="BH59" s="149">
        <f>IF(BH$4=0,$P59,IF(BH$4&lt;4,$U59*(1+$C$137)^BH$4,IF(BH$4&gt;3,$Y59*(1+$C$137)^BH$4)))</f>
        <v>716.24258797914729</v>
      </c>
      <c r="BI59" s="149">
        <f>IF(BI$4=0,$P59,IF(BI$4&lt;4,$U59*(1+$C$137)^BI$4,IF(BI$4&gt;3,$Y59*(1+$C$137)^BI$4)))</f>
        <v>734.14865267862581</v>
      </c>
      <c r="BJ59" s="149">
        <f>IF(BJ$4=0,$P59,IF(BJ$4&lt;4,$U59*(1+$C$137)^BJ$4,IF(BJ$4&gt;3,$Y59*(1+$C$137)^BJ$4)))</f>
        <v>752.50236899559161</v>
      </c>
      <c r="BK59" s="149">
        <f>IF(BK$4=0,$P59,IF(BK$4&lt;4,$U59*(1+$C$137)^BK$4,IF(BK$4&gt;3,$Y59*(1+$C$137)^BK$4)))</f>
        <v>771.31492822048131</v>
      </c>
      <c r="BL59" s="149">
        <f>IF(BL$4=0,$P59,IF(BL$4&lt;4,$U59*(1+$C$137)^BL$4,IF(BL$4&gt;3,$Y59*(1+$C$137)^BL$4)))</f>
        <v>790.59780142599323</v>
      </c>
      <c r="BM59" s="149">
        <f>IF(BM$4=0,$P59,IF(BM$4&lt;4,$U59*(1+$C$137)^BM$4,IF(BM$4&gt;3,$Y59*(1+$C$137)^BM$4)))</f>
        <v>810.36274646164316</v>
      </c>
      <c r="BN59" s="149">
        <f>IF(BN$4=0,$P59,IF(BN$4&lt;4,$U59*(1+$C$137)^BN$4,IF(BN$4&gt;3,$Y59*(1+$C$137)^BN$4)))</f>
        <v>830.62181512318409</v>
      </c>
      <c r="BO59" s="149">
        <f>IF(BO$4=0,$P59,IF(BO$4&lt;4,$U59*(1+$C$137)^BO$4,IF(BO$4&gt;3,$Y59*(1+$C$137)^BO$4)))</f>
        <v>851.38736050126374</v>
      </c>
      <c r="BP59" s="149">
        <f>IF(BP$4=0,$P59,IF(BP$4&lt;4,$U59*(1+$C$137)^BP$4,IF(BP$4&gt;3,$Y59*(1+$C$137)^BP$4)))</f>
        <v>872.67204451379519</v>
      </c>
      <c r="BQ59" s="149">
        <f>IF(BQ$4=0,$P59,IF(BQ$4&lt;4,$U59*(1+$C$137)^BQ$4,IF(BQ$4&gt;3,$Y59*(1+$C$137)^BQ$4)))</f>
        <v>894.48884562663989</v>
      </c>
      <c r="BR59" s="149">
        <f>IF(BR$4=0,$P59,IF(BR$4&lt;4,$U59*(1+$C$137)^BR$4,IF(BR$4&gt;3,$Y59*(1+$C$137)^BR$4)))</f>
        <v>916.85106676730595</v>
      </c>
      <c r="BS59" s="149">
        <f>IF(BS$4=0,$P59,IF(BS$4&lt;4,$U59*(1+$C$137)^BS$4,IF(BS$4&gt;3,$Y59*(1+$C$137)^BS$4)))</f>
        <v>939.77234343648854</v>
      </c>
      <c r="BT59" s="115"/>
      <c r="BU59" s="14"/>
      <c r="BV59" s="93" t="str">
        <f>C59</f>
        <v>Scrub</v>
      </c>
      <c r="BW59" s="14"/>
      <c r="BX59" s="93"/>
      <c r="BY59" s="14"/>
    </row>
    <row r="60" spans="1:77" ht="80" x14ac:dyDescent="0.15">
      <c r="A60" s="14"/>
      <c r="B60" s="1070"/>
      <c r="C60" s="1049"/>
      <c r="D60" s="456" t="s">
        <v>75</v>
      </c>
      <c r="E60" s="457" t="s">
        <v>170</v>
      </c>
      <c r="F60" s="458">
        <v>0.26400000000000001</v>
      </c>
      <c r="G60" s="459"/>
      <c r="H60" s="460">
        <v>294</v>
      </c>
      <c r="I60" s="119" t="s">
        <v>68</v>
      </c>
      <c r="J60" s="91" t="s">
        <v>69</v>
      </c>
      <c r="K60" s="461">
        <v>1.61</v>
      </c>
      <c r="L60" s="462">
        <f t="shared" si="21"/>
        <v>473.34000000000003</v>
      </c>
      <c r="M60" s="118"/>
      <c r="N60" s="463">
        <v>1.61</v>
      </c>
      <c r="O60" s="462">
        <f t="shared" si="22"/>
        <v>473.34000000000003</v>
      </c>
      <c r="P60" s="106">
        <f t="shared" si="23"/>
        <v>946.68000000000006</v>
      </c>
      <c r="Q60" s="117" t="s">
        <v>71</v>
      </c>
      <c r="R60" s="116" t="s">
        <v>72</v>
      </c>
      <c r="S60" s="449">
        <v>1</v>
      </c>
      <c r="T60" s="450">
        <f t="shared" ref="T60:T61" si="28">(O60+L60)*0.05</f>
        <v>47.334000000000003</v>
      </c>
      <c r="U60" s="451">
        <f t="shared" si="26"/>
        <v>47.334000000000003</v>
      </c>
      <c r="V60" s="452" t="s">
        <v>74</v>
      </c>
      <c r="W60" s="453">
        <f t="shared" si="27"/>
        <v>0.33333333333333331</v>
      </c>
      <c r="X60" s="454" t="s">
        <v>117</v>
      </c>
      <c r="Y60" s="455">
        <v>350</v>
      </c>
      <c r="Z60" s="1"/>
      <c r="AA60" s="88">
        <f>NPV($C$136,AF60:BS60)+AE60</f>
        <v>6655.6632143712341</v>
      </c>
      <c r="AB60" s="74"/>
      <c r="AC60" s="392"/>
      <c r="AD60" s="392"/>
      <c r="AE60" s="149">
        <f>IF(AE$4=0,$P60,IF(AE$4&lt;4,$U60*(1+$C$137)^AE$4,IF(AE$4&gt;3,$Y60*(1+$C$137)^AE$4)))</f>
        <v>946.68000000000006</v>
      </c>
      <c r="AF60" s="149">
        <f>IF(AF$4=0,$P60,IF(AF$4&lt;4,$U60*(1+$C$137)^AF$4,IF(AF$4&gt;3,$Y60*(1+$C$137)^AF$4)))</f>
        <v>48.51735</v>
      </c>
      <c r="AG60" s="149">
        <f>IF(AG$4=0,$P60,IF(AG$4&lt;4,$U60*(1+$C$137)^AG$4,IF(AG$4&gt;3,$Y60*(1+$C$137)^AG$4)))</f>
        <v>49.730283749999998</v>
      </c>
      <c r="AH60" s="149">
        <f>IF(AH$4=0,$P60,IF(AH$4&lt;4,$U60*(1+$C$137)^AH$4,IF(AH$4&gt;3,$Y60*(1+$C$137)^AH$4)))</f>
        <v>50.973540843749994</v>
      </c>
      <c r="AI60" s="149">
        <f>IF(AI$4=0,$P60,IF(AI$4&lt;4,$U60*(1+$C$137)^AI$4,IF(AI$4&gt;3,$Y60*(1+$C$137)^AI$4)))</f>
        <v>386.33451171874992</v>
      </c>
      <c r="AJ60" s="149">
        <f>IF(AJ$4=0,$P60,IF(AJ$4&lt;4,$U60*(1+$C$137)^AJ$4,IF(AJ$4&gt;3,$Y60*(1+$C$137)^AJ$4)))</f>
        <v>395.99287451171864</v>
      </c>
      <c r="AK60" s="149">
        <f>IF(AK$4=0,$P60,IF(AK$4&lt;4,$U60*(1+$C$137)^AK$4,IF(AK$4&gt;3,$Y60*(1+$C$137)^AK$4)))</f>
        <v>405.89269637451156</v>
      </c>
      <c r="AL60" s="149">
        <f>IF(AL$4=0,$P60,IF(AL$4&lt;4,$U60*(1+$C$137)^AL$4,IF(AL$4&gt;3,$Y60*(1+$C$137)^AL$4)))</f>
        <v>416.04001378387437</v>
      </c>
      <c r="AM60" s="149">
        <f>IF(AM$4=0,$P60,IF(AM$4&lt;4,$U60*(1+$C$137)^AM$4,IF(AM$4&gt;3,$Y60*(1+$C$137)^AM$4)))</f>
        <v>426.44101412847118</v>
      </c>
      <c r="AN60" s="149">
        <f>IF(AN$4=0,$P60,IF(AN$4&lt;4,$U60*(1+$C$137)^AN$4,IF(AN$4&gt;3,$Y60*(1+$C$137)^AN$4)))</f>
        <v>437.10203948168288</v>
      </c>
      <c r="AO60" s="149">
        <f>IF(AO$4=0,$P60,IF(AO$4&lt;4,$U60*(1+$C$137)^AO$4,IF(AO$4&gt;3,$Y60*(1+$C$137)^AO$4)))</f>
        <v>448.02959046872496</v>
      </c>
      <c r="AP60" s="149">
        <f>IF(AP$4=0,$P60,IF(AP$4&lt;4,$U60*(1+$C$137)^AP$4,IF(AP$4&gt;3,$Y60*(1+$C$137)^AP$4)))</f>
        <v>459.23033023044309</v>
      </c>
      <c r="AQ60" s="149">
        <f>IF(AQ$4=0,$P60,IF(AQ$4&lt;4,$U60*(1+$C$137)^AQ$4,IF(AQ$4&gt;3,$Y60*(1+$C$137)^AQ$4)))</f>
        <v>470.71108848620412</v>
      </c>
      <c r="AR60" s="149">
        <f>IF(AR$4=0,$P60,IF(AR$4&lt;4,$U60*(1+$C$137)^AR$4,IF(AR$4&gt;3,$Y60*(1+$C$137)^AR$4)))</f>
        <v>482.47886569835924</v>
      </c>
      <c r="AS60" s="149">
        <f>IF(AS$4=0,$P60,IF(AS$4&lt;4,$U60*(1+$C$137)^AS$4,IF(AS$4&gt;3,$Y60*(1+$C$137)^AS$4)))</f>
        <v>494.54083734081814</v>
      </c>
      <c r="AT60" s="149">
        <f>IF(AT$4=0,$P60,IF(AT$4&lt;4,$U60*(1+$C$137)^AT$4,IF(AT$4&gt;3,$Y60*(1+$C$137)^AT$4)))</f>
        <v>506.90435827433868</v>
      </c>
      <c r="AU60" s="149">
        <f>IF(AU$4=0,$P60,IF(AU$4&lt;4,$U60*(1+$C$137)^AU$4,IF(AU$4&gt;3,$Y60*(1+$C$137)^AU$4)))</f>
        <v>519.57696723119705</v>
      </c>
      <c r="AV60" s="149">
        <f>IF(AV$4=0,$P60,IF(AV$4&lt;4,$U60*(1+$C$137)^AV$4,IF(AV$4&gt;3,$Y60*(1+$C$137)^AV$4)))</f>
        <v>532.56639141197695</v>
      </c>
      <c r="AW60" s="149">
        <f>IF(AW$4=0,$P60,IF(AW$4&lt;4,$U60*(1+$C$137)^AW$4,IF(AW$4&gt;3,$Y60*(1+$C$137)^AW$4)))</f>
        <v>545.88055119727642</v>
      </c>
      <c r="AX60" s="149">
        <f>IF(AX$4=0,$P60,IF(AX$4&lt;4,$U60*(1+$C$137)^AX$4,IF(AX$4&gt;3,$Y60*(1+$C$137)^AX$4)))</f>
        <v>559.52756497720827</v>
      </c>
      <c r="AY60" s="149">
        <f>IF(AY$4=0,$P60,IF(AY$4&lt;4,$U60*(1+$C$137)^AY$4,IF(AY$4&gt;3,$Y60*(1+$C$137)^AY$4)))</f>
        <v>573.51575410163844</v>
      </c>
      <c r="AZ60" s="149">
        <f>IF(AZ$4=0,$P60,IF(AZ$4&lt;4,$U60*(1+$C$137)^AZ$4,IF(AZ$4&gt;3,$Y60*(1+$C$137)^AZ$4)))</f>
        <v>587.85364795417934</v>
      </c>
      <c r="BA60" s="149">
        <f>IF(BA$4=0,$P60,IF(BA$4&lt;4,$U60*(1+$C$137)^BA$4,IF(BA$4&gt;3,$Y60*(1+$C$137)^BA$4)))</f>
        <v>602.54998915303383</v>
      </c>
      <c r="BB60" s="149">
        <f>IF(BB$4=0,$P60,IF(BB$4&lt;4,$U60*(1+$C$137)^BB$4,IF(BB$4&gt;3,$Y60*(1+$C$137)^BB$4)))</f>
        <v>617.61373888185972</v>
      </c>
      <c r="BC60" s="149">
        <f>IF(BC$4=0,$P60,IF(BC$4&lt;4,$U60*(1+$C$137)^BC$4,IF(BC$4&gt;3,$Y60*(1+$C$137)^BC$4)))</f>
        <v>633.0540823539061</v>
      </c>
      <c r="BD60" s="149">
        <f>IF(BD$4=0,$P60,IF(BD$4&lt;4,$U60*(1+$C$137)^BD$4,IF(BD$4&gt;3,$Y60*(1+$C$137)^BD$4)))</f>
        <v>648.88043441275363</v>
      </c>
      <c r="BE60" s="149">
        <f>IF(BE$4=0,$P60,IF(BE$4&lt;4,$U60*(1+$C$137)^BE$4,IF(BE$4&gt;3,$Y60*(1+$C$137)^BE$4)))</f>
        <v>665.10244527307248</v>
      </c>
      <c r="BF60" s="149">
        <f>IF(BF$4=0,$P60,IF(BF$4&lt;4,$U60*(1+$C$137)^BF$4,IF(BF$4&gt;3,$Y60*(1+$C$137)^BF$4)))</f>
        <v>681.73000640489931</v>
      </c>
      <c r="BG60" s="149">
        <f>IF(BG$4=0,$P60,IF(BG$4&lt;4,$U60*(1+$C$137)^BG$4,IF(BG$4&gt;3,$Y60*(1+$C$137)^BG$4)))</f>
        <v>698.77325656502171</v>
      </c>
      <c r="BH60" s="149">
        <f>IF(BH$4=0,$P60,IF(BH$4&lt;4,$U60*(1+$C$137)^BH$4,IF(BH$4&gt;3,$Y60*(1+$C$137)^BH$4)))</f>
        <v>716.24258797914729</v>
      </c>
      <c r="BI60" s="149">
        <f>IF(BI$4=0,$P60,IF(BI$4&lt;4,$U60*(1+$C$137)^BI$4,IF(BI$4&gt;3,$Y60*(1+$C$137)^BI$4)))</f>
        <v>734.14865267862581</v>
      </c>
      <c r="BJ60" s="149">
        <f>IF(BJ$4=0,$P60,IF(BJ$4&lt;4,$U60*(1+$C$137)^BJ$4,IF(BJ$4&gt;3,$Y60*(1+$C$137)^BJ$4)))</f>
        <v>752.50236899559161</v>
      </c>
      <c r="BK60" s="149">
        <f>IF(BK$4=0,$P60,IF(BK$4&lt;4,$U60*(1+$C$137)^BK$4,IF(BK$4&gt;3,$Y60*(1+$C$137)^BK$4)))</f>
        <v>771.31492822048131</v>
      </c>
      <c r="BL60" s="149">
        <f>IF(BL$4=0,$P60,IF(BL$4&lt;4,$U60*(1+$C$137)^BL$4,IF(BL$4&gt;3,$Y60*(1+$C$137)^BL$4)))</f>
        <v>790.59780142599323</v>
      </c>
      <c r="BM60" s="149">
        <f>IF(BM$4=0,$P60,IF(BM$4&lt;4,$U60*(1+$C$137)^BM$4,IF(BM$4&gt;3,$Y60*(1+$C$137)^BM$4)))</f>
        <v>810.36274646164316</v>
      </c>
      <c r="BN60" s="149">
        <f>IF(BN$4=0,$P60,IF(BN$4&lt;4,$U60*(1+$C$137)^BN$4,IF(BN$4&gt;3,$Y60*(1+$C$137)^BN$4)))</f>
        <v>830.62181512318409</v>
      </c>
      <c r="BO60" s="149">
        <f>IF(BO$4=0,$P60,IF(BO$4&lt;4,$U60*(1+$C$137)^BO$4,IF(BO$4&gt;3,$Y60*(1+$C$137)^BO$4)))</f>
        <v>851.38736050126374</v>
      </c>
      <c r="BP60" s="149">
        <f>IF(BP$4=0,$P60,IF(BP$4&lt;4,$U60*(1+$C$137)^BP$4,IF(BP$4&gt;3,$Y60*(1+$C$137)^BP$4)))</f>
        <v>872.67204451379519</v>
      </c>
      <c r="BQ60" s="149">
        <f>IF(BQ$4=0,$P60,IF(BQ$4&lt;4,$U60*(1+$C$137)^BQ$4,IF(BQ$4&gt;3,$Y60*(1+$C$137)^BQ$4)))</f>
        <v>894.48884562663989</v>
      </c>
      <c r="BR60" s="149">
        <f>IF(BR$4=0,$P60,IF(BR$4&lt;4,$U60*(1+$C$137)^BR$4,IF(BR$4&gt;3,$Y60*(1+$C$137)^BR$4)))</f>
        <v>916.85106676730595</v>
      </c>
      <c r="BS60" s="149">
        <f>IF(BS$4=0,$P60,IF(BS$4&lt;4,$U60*(1+$C$137)^BS$4,IF(BS$4&gt;3,$Y60*(1+$C$137)^BS$4)))</f>
        <v>939.77234343648854</v>
      </c>
      <c r="BT60" s="1"/>
      <c r="BU60" s="14"/>
      <c r="BV60" s="93" t="str">
        <f>BV59</f>
        <v>Scrub</v>
      </c>
      <c r="BW60" s="14"/>
      <c r="BX60" s="93"/>
      <c r="BY60" s="14"/>
    </row>
    <row r="61" spans="1:77" ht="80" x14ac:dyDescent="0.15">
      <c r="A61" s="14"/>
      <c r="B61" s="1070"/>
      <c r="C61" s="1056"/>
      <c r="D61" s="25" t="s">
        <v>76</v>
      </c>
      <c r="E61" s="26" t="s">
        <v>171</v>
      </c>
      <c r="F61" s="464">
        <v>0.159</v>
      </c>
      <c r="G61" s="465"/>
      <c r="H61" s="466">
        <v>707</v>
      </c>
      <c r="I61" s="98" t="s">
        <v>77</v>
      </c>
      <c r="J61" s="121"/>
      <c r="K61" s="467">
        <v>1.42</v>
      </c>
      <c r="L61" s="468">
        <f t="shared" si="21"/>
        <v>1003.9399999999999</v>
      </c>
      <c r="M61" s="122"/>
      <c r="N61" s="469"/>
      <c r="O61" s="468">
        <f t="shared" si="22"/>
        <v>0</v>
      </c>
      <c r="P61" s="94">
        <f t="shared" si="23"/>
        <v>1003.9399999999999</v>
      </c>
      <c r="Q61" s="120" t="s">
        <v>71</v>
      </c>
      <c r="R61" s="100" t="s">
        <v>72</v>
      </c>
      <c r="S61" s="470">
        <v>1</v>
      </c>
      <c r="T61" s="471">
        <f t="shared" si="28"/>
        <v>50.197000000000003</v>
      </c>
      <c r="U61" s="96">
        <f t="shared" si="26"/>
        <v>50.197000000000003</v>
      </c>
      <c r="V61" s="98" t="s">
        <v>74</v>
      </c>
      <c r="W61" s="472">
        <f t="shared" si="27"/>
        <v>0.33333333333333331</v>
      </c>
      <c r="X61" s="473" t="s">
        <v>117</v>
      </c>
      <c r="Y61" s="474">
        <v>350</v>
      </c>
      <c r="Z61" s="1"/>
      <c r="AA61" s="88">
        <f>NPV($C$136,AF61:BS61)+AE61</f>
        <v>6720.8098174603701</v>
      </c>
      <c r="AB61" s="74"/>
      <c r="AC61" s="392"/>
      <c r="AD61" s="392"/>
      <c r="AE61" s="149">
        <f>IF(AE$4=0,$P61,IF(AE$4&lt;4,$U61*(1+$C$137)^AE$4,IF(AE$4&gt;3,$Y61*(1+$C$137)^AE$4)))</f>
        <v>1003.9399999999999</v>
      </c>
      <c r="AF61" s="149">
        <f>IF(AF$4=0,$P61,IF(AF$4&lt;4,$U61*(1+$C$137)^AF$4,IF(AF$4&gt;3,$Y61*(1+$C$137)^AF$4)))</f>
        <v>51.451924999999996</v>
      </c>
      <c r="AG61" s="149">
        <f>IF(AG$4=0,$P61,IF(AG$4&lt;4,$U61*(1+$C$137)^AG$4,IF(AG$4&gt;3,$Y61*(1+$C$137)^AG$4)))</f>
        <v>52.738223124999998</v>
      </c>
      <c r="AH61" s="149">
        <f>IF(AH$4=0,$P61,IF(AH$4&lt;4,$U61*(1+$C$137)^AH$4,IF(AH$4&gt;3,$Y61*(1+$C$137)^AH$4)))</f>
        <v>54.056678703124994</v>
      </c>
      <c r="AI61" s="149">
        <f>IF(AI$4=0,$P61,IF(AI$4&lt;4,$U61*(1+$C$137)^AI$4,IF(AI$4&gt;3,$Y61*(1+$C$137)^AI$4)))</f>
        <v>386.33451171874992</v>
      </c>
      <c r="AJ61" s="149">
        <f>IF(AJ$4=0,$P61,IF(AJ$4&lt;4,$U61*(1+$C$137)^AJ$4,IF(AJ$4&gt;3,$Y61*(1+$C$137)^AJ$4)))</f>
        <v>395.99287451171864</v>
      </c>
      <c r="AK61" s="149">
        <f>IF(AK$4=0,$P61,IF(AK$4&lt;4,$U61*(1+$C$137)^AK$4,IF(AK$4&gt;3,$Y61*(1+$C$137)^AK$4)))</f>
        <v>405.89269637451156</v>
      </c>
      <c r="AL61" s="149">
        <f>IF(AL$4=0,$P61,IF(AL$4&lt;4,$U61*(1+$C$137)^AL$4,IF(AL$4&gt;3,$Y61*(1+$C$137)^AL$4)))</f>
        <v>416.04001378387437</v>
      </c>
      <c r="AM61" s="149">
        <f>IF(AM$4=0,$P61,IF(AM$4&lt;4,$U61*(1+$C$137)^AM$4,IF(AM$4&gt;3,$Y61*(1+$C$137)^AM$4)))</f>
        <v>426.44101412847118</v>
      </c>
      <c r="AN61" s="149">
        <f>IF(AN$4=0,$P61,IF(AN$4&lt;4,$U61*(1+$C$137)^AN$4,IF(AN$4&gt;3,$Y61*(1+$C$137)^AN$4)))</f>
        <v>437.10203948168288</v>
      </c>
      <c r="AO61" s="149">
        <f>IF(AO$4=0,$P61,IF(AO$4&lt;4,$U61*(1+$C$137)^AO$4,IF(AO$4&gt;3,$Y61*(1+$C$137)^AO$4)))</f>
        <v>448.02959046872496</v>
      </c>
      <c r="AP61" s="149">
        <f>IF(AP$4=0,$P61,IF(AP$4&lt;4,$U61*(1+$C$137)^AP$4,IF(AP$4&gt;3,$Y61*(1+$C$137)^AP$4)))</f>
        <v>459.23033023044309</v>
      </c>
      <c r="AQ61" s="149">
        <f>IF(AQ$4=0,$P61,IF(AQ$4&lt;4,$U61*(1+$C$137)^AQ$4,IF(AQ$4&gt;3,$Y61*(1+$C$137)^AQ$4)))</f>
        <v>470.71108848620412</v>
      </c>
      <c r="AR61" s="149">
        <f>IF(AR$4=0,$P61,IF(AR$4&lt;4,$U61*(1+$C$137)^AR$4,IF(AR$4&gt;3,$Y61*(1+$C$137)^AR$4)))</f>
        <v>482.47886569835924</v>
      </c>
      <c r="AS61" s="149">
        <f>IF(AS$4=0,$P61,IF(AS$4&lt;4,$U61*(1+$C$137)^AS$4,IF(AS$4&gt;3,$Y61*(1+$C$137)^AS$4)))</f>
        <v>494.54083734081814</v>
      </c>
      <c r="AT61" s="149">
        <f>IF(AT$4=0,$P61,IF(AT$4&lt;4,$U61*(1+$C$137)^AT$4,IF(AT$4&gt;3,$Y61*(1+$C$137)^AT$4)))</f>
        <v>506.90435827433868</v>
      </c>
      <c r="AU61" s="149">
        <f>IF(AU$4=0,$P61,IF(AU$4&lt;4,$U61*(1+$C$137)^AU$4,IF(AU$4&gt;3,$Y61*(1+$C$137)^AU$4)))</f>
        <v>519.57696723119705</v>
      </c>
      <c r="AV61" s="149">
        <f>IF(AV$4=0,$P61,IF(AV$4&lt;4,$U61*(1+$C$137)^AV$4,IF(AV$4&gt;3,$Y61*(1+$C$137)^AV$4)))</f>
        <v>532.56639141197695</v>
      </c>
      <c r="AW61" s="149">
        <f>IF(AW$4=0,$P61,IF(AW$4&lt;4,$U61*(1+$C$137)^AW$4,IF(AW$4&gt;3,$Y61*(1+$C$137)^AW$4)))</f>
        <v>545.88055119727642</v>
      </c>
      <c r="AX61" s="149">
        <f>IF(AX$4=0,$P61,IF(AX$4&lt;4,$U61*(1+$C$137)^AX$4,IF(AX$4&gt;3,$Y61*(1+$C$137)^AX$4)))</f>
        <v>559.52756497720827</v>
      </c>
      <c r="AY61" s="149">
        <f>IF(AY$4=0,$P61,IF(AY$4&lt;4,$U61*(1+$C$137)^AY$4,IF(AY$4&gt;3,$Y61*(1+$C$137)^AY$4)))</f>
        <v>573.51575410163844</v>
      </c>
      <c r="AZ61" s="149">
        <f>IF(AZ$4=0,$P61,IF(AZ$4&lt;4,$U61*(1+$C$137)^AZ$4,IF(AZ$4&gt;3,$Y61*(1+$C$137)^AZ$4)))</f>
        <v>587.85364795417934</v>
      </c>
      <c r="BA61" s="149">
        <f>IF(BA$4=0,$P61,IF(BA$4&lt;4,$U61*(1+$C$137)^BA$4,IF(BA$4&gt;3,$Y61*(1+$C$137)^BA$4)))</f>
        <v>602.54998915303383</v>
      </c>
      <c r="BB61" s="149">
        <f>IF(BB$4=0,$P61,IF(BB$4&lt;4,$U61*(1+$C$137)^BB$4,IF(BB$4&gt;3,$Y61*(1+$C$137)^BB$4)))</f>
        <v>617.61373888185972</v>
      </c>
      <c r="BC61" s="149">
        <f>IF(BC$4=0,$P61,IF(BC$4&lt;4,$U61*(1+$C$137)^BC$4,IF(BC$4&gt;3,$Y61*(1+$C$137)^BC$4)))</f>
        <v>633.0540823539061</v>
      </c>
      <c r="BD61" s="149">
        <f>IF(BD$4=0,$P61,IF(BD$4&lt;4,$U61*(1+$C$137)^BD$4,IF(BD$4&gt;3,$Y61*(1+$C$137)^BD$4)))</f>
        <v>648.88043441275363</v>
      </c>
      <c r="BE61" s="149">
        <f>IF(BE$4=0,$P61,IF(BE$4&lt;4,$U61*(1+$C$137)^BE$4,IF(BE$4&gt;3,$Y61*(1+$C$137)^BE$4)))</f>
        <v>665.10244527307248</v>
      </c>
      <c r="BF61" s="149">
        <f>IF(BF$4=0,$P61,IF(BF$4&lt;4,$U61*(1+$C$137)^BF$4,IF(BF$4&gt;3,$Y61*(1+$C$137)^BF$4)))</f>
        <v>681.73000640489931</v>
      </c>
      <c r="BG61" s="149">
        <f>IF(BG$4=0,$P61,IF(BG$4&lt;4,$U61*(1+$C$137)^BG$4,IF(BG$4&gt;3,$Y61*(1+$C$137)^BG$4)))</f>
        <v>698.77325656502171</v>
      </c>
      <c r="BH61" s="149">
        <f>IF(BH$4=0,$P61,IF(BH$4&lt;4,$U61*(1+$C$137)^BH$4,IF(BH$4&gt;3,$Y61*(1+$C$137)^BH$4)))</f>
        <v>716.24258797914729</v>
      </c>
      <c r="BI61" s="149">
        <f>IF(BI$4=0,$P61,IF(BI$4&lt;4,$U61*(1+$C$137)^BI$4,IF(BI$4&gt;3,$Y61*(1+$C$137)^BI$4)))</f>
        <v>734.14865267862581</v>
      </c>
      <c r="BJ61" s="149">
        <f>IF(BJ$4=0,$P61,IF(BJ$4&lt;4,$U61*(1+$C$137)^BJ$4,IF(BJ$4&gt;3,$Y61*(1+$C$137)^BJ$4)))</f>
        <v>752.50236899559161</v>
      </c>
      <c r="BK61" s="149">
        <f>IF(BK$4=0,$P61,IF(BK$4&lt;4,$U61*(1+$C$137)^BK$4,IF(BK$4&gt;3,$Y61*(1+$C$137)^BK$4)))</f>
        <v>771.31492822048131</v>
      </c>
      <c r="BL61" s="149">
        <f>IF(BL$4=0,$P61,IF(BL$4&lt;4,$U61*(1+$C$137)^BL$4,IF(BL$4&gt;3,$Y61*(1+$C$137)^BL$4)))</f>
        <v>790.59780142599323</v>
      </c>
      <c r="BM61" s="149">
        <f>IF(BM$4=0,$P61,IF(BM$4&lt;4,$U61*(1+$C$137)^BM$4,IF(BM$4&gt;3,$Y61*(1+$C$137)^BM$4)))</f>
        <v>810.36274646164316</v>
      </c>
      <c r="BN61" s="149">
        <f>IF(BN$4=0,$P61,IF(BN$4&lt;4,$U61*(1+$C$137)^BN$4,IF(BN$4&gt;3,$Y61*(1+$C$137)^BN$4)))</f>
        <v>830.62181512318409</v>
      </c>
      <c r="BO61" s="149">
        <f>IF(BO$4=0,$P61,IF(BO$4&lt;4,$U61*(1+$C$137)^BO$4,IF(BO$4&gt;3,$Y61*(1+$C$137)^BO$4)))</f>
        <v>851.38736050126374</v>
      </c>
      <c r="BP61" s="149">
        <f>IF(BP$4=0,$P61,IF(BP$4&lt;4,$U61*(1+$C$137)^BP$4,IF(BP$4&gt;3,$Y61*(1+$C$137)^BP$4)))</f>
        <v>872.67204451379519</v>
      </c>
      <c r="BQ61" s="149">
        <f>IF(BQ$4=0,$P61,IF(BQ$4&lt;4,$U61*(1+$C$137)^BQ$4,IF(BQ$4&gt;3,$Y61*(1+$C$137)^BQ$4)))</f>
        <v>894.48884562663989</v>
      </c>
      <c r="BR61" s="149">
        <f>IF(BR$4=0,$P61,IF(BR$4&lt;4,$U61*(1+$C$137)^BR$4,IF(BR$4&gt;3,$Y61*(1+$C$137)^BR$4)))</f>
        <v>916.85106676730595</v>
      </c>
      <c r="BS61" s="149">
        <f>IF(BS$4=0,$P61,IF(BS$4&lt;4,$U61*(1+$C$137)^BS$4,IF(BS$4&gt;3,$Y61*(1+$C$137)^BS$4)))</f>
        <v>939.77234343648854</v>
      </c>
      <c r="BT61" s="1"/>
      <c r="BU61" s="14"/>
      <c r="BV61" s="93" t="str">
        <f>BV59</f>
        <v>Scrub</v>
      </c>
      <c r="BW61" s="14"/>
      <c r="BX61" s="93"/>
      <c r="BY61" s="14"/>
    </row>
    <row r="62" spans="1:77" ht="64" x14ac:dyDescent="0.15">
      <c r="A62" s="14"/>
      <c r="B62" s="1070"/>
      <c r="C62" s="98" t="s">
        <v>78</v>
      </c>
      <c r="D62" s="25"/>
      <c r="E62" s="26"/>
      <c r="F62" s="475"/>
      <c r="G62" s="465"/>
      <c r="H62" s="466">
        <v>0</v>
      </c>
      <c r="I62" s="98"/>
      <c r="J62" s="121"/>
      <c r="K62" s="969">
        <f>70</f>
        <v>70</v>
      </c>
      <c r="L62" s="468">
        <f t="shared" si="21"/>
        <v>0</v>
      </c>
      <c r="M62" s="122"/>
      <c r="N62" s="469">
        <f>50</f>
        <v>50</v>
      </c>
      <c r="O62" s="468">
        <f t="shared" si="22"/>
        <v>0</v>
      </c>
      <c r="P62" s="94">
        <f t="shared" si="23"/>
        <v>0</v>
      </c>
      <c r="Q62" s="120" t="s">
        <v>71</v>
      </c>
      <c r="R62" s="100" t="s">
        <v>91</v>
      </c>
      <c r="S62" s="470">
        <v>1</v>
      </c>
      <c r="T62" s="477">
        <f t="shared" ref="T62:T63" si="29">O62*0.1</f>
        <v>0</v>
      </c>
      <c r="U62" s="96">
        <f t="shared" si="26"/>
        <v>0</v>
      </c>
      <c r="V62" s="98" t="s">
        <v>130</v>
      </c>
      <c r="W62" s="472">
        <f>1/5</f>
        <v>0.2</v>
      </c>
      <c r="X62" s="428">
        <v>20</v>
      </c>
      <c r="Y62" s="97">
        <f>(H62)*W62*X62</f>
        <v>0</v>
      </c>
      <c r="Z62" s="1"/>
      <c r="AA62" s="88">
        <f>NPV($C$136,AF62:BS62)+AE62</f>
        <v>0</v>
      </c>
      <c r="AB62" s="74"/>
      <c r="AC62" s="392"/>
      <c r="AD62" s="392"/>
      <c r="AE62" s="149">
        <f>IF(AE$4=0,$P62,IF(AE$4&lt;4,$U62*(1+$C$137)^AE$4,IF(AE$4&gt;3,$Y62*(1+$C$137)^AE$4)))</f>
        <v>0</v>
      </c>
      <c r="AF62" s="149">
        <f>IF(AF$4=0,$P62,IF(AF$4&lt;4,$U62*(1+$C$137)^AF$4,IF(AF$4&gt;3,$Y62*(1+$C$137)^AF$4)))</f>
        <v>0</v>
      </c>
      <c r="AG62" s="149">
        <f>IF(AG$4=0,$P62,IF(AG$4&lt;4,$U62*(1+$C$137)^AG$4,IF(AG$4&gt;3,$Y62*(1+$C$137)^AG$4)))</f>
        <v>0</v>
      </c>
      <c r="AH62" s="149">
        <f>IF(AH$4=0,$P62,IF(AH$4&lt;4,$U62*(1+$C$137)^AH$4,IF(AH$4&gt;3,$Y62*(1+$C$137)^AH$4)))</f>
        <v>0</v>
      </c>
      <c r="AI62" s="149">
        <f>IF(AI$4=0,$P62,IF(AI$4&lt;4,$U62*(1+$C$137)^AI$4,IF(AI$4&gt;3,$Y62*(1+$C$137)^AI$4)))</f>
        <v>0</v>
      </c>
      <c r="AJ62" s="149">
        <f>IF(AJ$4=0,$P62,IF(AJ$4&lt;4,$U62*(1+$C$137)^AJ$4,IF(AJ$4&gt;3,$Y62*(1+$C$137)^AJ$4)))</f>
        <v>0</v>
      </c>
      <c r="AK62" s="149">
        <f>IF(AK$4=0,$P62,IF(AK$4&lt;4,$U62*(1+$C$137)^AK$4,IF(AK$4&gt;3,$Y62*(1+$C$137)^AK$4)))</f>
        <v>0</v>
      </c>
      <c r="AL62" s="149">
        <f>IF(AL$4=0,$P62,IF(AL$4&lt;4,$U62*(1+$C$137)^AL$4,IF(AL$4&gt;3,$Y62*(1+$C$137)^AL$4)))</f>
        <v>0</v>
      </c>
      <c r="AM62" s="149">
        <f>IF(AM$4=0,$P62,IF(AM$4&lt;4,$U62*(1+$C$137)^AM$4,IF(AM$4&gt;3,$Y62*(1+$C$137)^AM$4)))</f>
        <v>0</v>
      </c>
      <c r="AN62" s="149">
        <f>IF(AN$4=0,$P62,IF(AN$4&lt;4,$U62*(1+$C$137)^AN$4,IF(AN$4&gt;3,$Y62*(1+$C$137)^AN$4)))</f>
        <v>0</v>
      </c>
      <c r="AO62" s="149">
        <f>IF(AO$4=0,$P62,IF(AO$4&lt;4,$U62*(1+$C$137)^AO$4,IF(AO$4&gt;3,$Y62*(1+$C$137)^AO$4)))</f>
        <v>0</v>
      </c>
      <c r="AP62" s="149">
        <f>IF(AP$4=0,$P62,IF(AP$4&lt;4,$U62*(1+$C$137)^AP$4,IF(AP$4&gt;3,$Y62*(1+$C$137)^AP$4)))</f>
        <v>0</v>
      </c>
      <c r="AQ62" s="149">
        <f>IF(AQ$4=0,$P62,IF(AQ$4&lt;4,$U62*(1+$C$137)^AQ$4,IF(AQ$4&gt;3,$Y62*(1+$C$137)^AQ$4)))</f>
        <v>0</v>
      </c>
      <c r="AR62" s="149">
        <f>IF(AR$4=0,$P62,IF(AR$4&lt;4,$U62*(1+$C$137)^AR$4,IF(AR$4&gt;3,$Y62*(1+$C$137)^AR$4)))</f>
        <v>0</v>
      </c>
      <c r="AS62" s="149">
        <f>IF(AS$4=0,$P62,IF(AS$4&lt;4,$U62*(1+$C$137)^AS$4,IF(AS$4&gt;3,$Y62*(1+$C$137)^AS$4)))</f>
        <v>0</v>
      </c>
      <c r="AT62" s="149">
        <f>IF(AT$4=0,$P62,IF(AT$4&lt;4,$U62*(1+$C$137)^AT$4,IF(AT$4&gt;3,$Y62*(1+$C$137)^AT$4)))</f>
        <v>0</v>
      </c>
      <c r="AU62" s="149">
        <f>IF(AU$4=0,$P62,IF(AU$4&lt;4,$U62*(1+$C$137)^AU$4,IF(AU$4&gt;3,$Y62*(1+$C$137)^AU$4)))</f>
        <v>0</v>
      </c>
      <c r="AV62" s="149">
        <f>IF(AV$4=0,$P62,IF(AV$4&lt;4,$U62*(1+$C$137)^AV$4,IF(AV$4&gt;3,$Y62*(1+$C$137)^AV$4)))</f>
        <v>0</v>
      </c>
      <c r="AW62" s="149">
        <f>IF(AW$4=0,$P62,IF(AW$4&lt;4,$U62*(1+$C$137)^AW$4,IF(AW$4&gt;3,$Y62*(1+$C$137)^AW$4)))</f>
        <v>0</v>
      </c>
      <c r="AX62" s="149">
        <f>IF(AX$4=0,$P62,IF(AX$4&lt;4,$U62*(1+$C$137)^AX$4,IF(AX$4&gt;3,$Y62*(1+$C$137)^AX$4)))</f>
        <v>0</v>
      </c>
      <c r="AY62" s="149">
        <f>IF(AY$4=0,$P62,IF(AY$4&lt;4,$U62*(1+$C$137)^AY$4,IF(AY$4&gt;3,$Y62*(1+$C$137)^AY$4)))</f>
        <v>0</v>
      </c>
      <c r="AZ62" s="149">
        <f>IF(AZ$4=0,$P62,IF(AZ$4&lt;4,$U62*(1+$C$137)^AZ$4,IF(AZ$4&gt;3,$Y62*(1+$C$137)^AZ$4)))</f>
        <v>0</v>
      </c>
      <c r="BA62" s="149">
        <f>IF(BA$4=0,$P62,IF(BA$4&lt;4,$U62*(1+$C$137)^BA$4,IF(BA$4&gt;3,$Y62*(1+$C$137)^BA$4)))</f>
        <v>0</v>
      </c>
      <c r="BB62" s="149">
        <f>IF(BB$4=0,$P62,IF(BB$4&lt;4,$U62*(1+$C$137)^BB$4,IF(BB$4&gt;3,$Y62*(1+$C$137)^BB$4)))</f>
        <v>0</v>
      </c>
      <c r="BC62" s="149">
        <f>IF(BC$4=0,$P62,IF(BC$4&lt;4,$U62*(1+$C$137)^BC$4,IF(BC$4&gt;3,$Y62*(1+$C$137)^BC$4)))</f>
        <v>0</v>
      </c>
      <c r="BD62" s="149">
        <f>IF(BD$4=0,$P62,IF(BD$4&lt;4,$U62*(1+$C$137)^BD$4,IF(BD$4&gt;3,$Y62*(1+$C$137)^BD$4)))</f>
        <v>0</v>
      </c>
      <c r="BE62" s="149">
        <f>IF(BE$4=0,$P62,IF(BE$4&lt;4,$U62*(1+$C$137)^BE$4,IF(BE$4&gt;3,$Y62*(1+$C$137)^BE$4)))</f>
        <v>0</v>
      </c>
      <c r="BF62" s="149">
        <f>IF(BF$4=0,$P62,IF(BF$4&lt;4,$U62*(1+$C$137)^BF$4,IF(BF$4&gt;3,$Y62*(1+$C$137)^BF$4)))</f>
        <v>0</v>
      </c>
      <c r="BG62" s="149">
        <f>IF(BG$4=0,$P62,IF(BG$4&lt;4,$U62*(1+$C$137)^BG$4,IF(BG$4&gt;3,$Y62*(1+$C$137)^BG$4)))</f>
        <v>0</v>
      </c>
      <c r="BH62" s="149">
        <f>IF(BH$4=0,$P62,IF(BH$4&lt;4,$U62*(1+$C$137)^BH$4,IF(BH$4&gt;3,$Y62*(1+$C$137)^BH$4)))</f>
        <v>0</v>
      </c>
      <c r="BI62" s="149">
        <f>IF(BI$4=0,$P62,IF(BI$4&lt;4,$U62*(1+$C$137)^BI$4,IF(BI$4&gt;3,$Y62*(1+$C$137)^BI$4)))</f>
        <v>0</v>
      </c>
      <c r="BJ62" s="149">
        <f>IF(BJ$4=0,$P62,IF(BJ$4&lt;4,$U62*(1+$C$137)^BJ$4,IF(BJ$4&gt;3,$Y62*(1+$C$137)^BJ$4)))</f>
        <v>0</v>
      </c>
      <c r="BK62" s="149">
        <f>IF(BK$4=0,$P62,IF(BK$4&lt;4,$U62*(1+$C$137)^BK$4,IF(BK$4&gt;3,$Y62*(1+$C$137)^BK$4)))</f>
        <v>0</v>
      </c>
      <c r="BL62" s="149">
        <f>IF(BL$4=0,$P62,IF(BL$4&lt;4,$U62*(1+$C$137)^BL$4,IF(BL$4&gt;3,$Y62*(1+$C$137)^BL$4)))</f>
        <v>0</v>
      </c>
      <c r="BM62" s="149">
        <f>IF(BM$4=0,$P62,IF(BM$4&lt;4,$U62*(1+$C$137)^BM$4,IF(BM$4&gt;3,$Y62*(1+$C$137)^BM$4)))</f>
        <v>0</v>
      </c>
      <c r="BN62" s="149">
        <f>IF(BN$4=0,$P62,IF(BN$4&lt;4,$U62*(1+$C$137)^BN$4,IF(BN$4&gt;3,$Y62*(1+$C$137)^BN$4)))</f>
        <v>0</v>
      </c>
      <c r="BO62" s="149">
        <f>IF(BO$4=0,$P62,IF(BO$4&lt;4,$U62*(1+$C$137)^BO$4,IF(BO$4&gt;3,$Y62*(1+$C$137)^BO$4)))</f>
        <v>0</v>
      </c>
      <c r="BP62" s="149">
        <f>IF(BP$4=0,$P62,IF(BP$4&lt;4,$U62*(1+$C$137)^BP$4,IF(BP$4&gt;3,$Y62*(1+$C$137)^BP$4)))</f>
        <v>0</v>
      </c>
      <c r="BQ62" s="149">
        <f>IF(BQ$4=0,$P62,IF(BQ$4&lt;4,$U62*(1+$C$137)^BQ$4,IF(BQ$4&gt;3,$Y62*(1+$C$137)^BQ$4)))</f>
        <v>0</v>
      </c>
      <c r="BR62" s="149">
        <f>IF(BR$4=0,$P62,IF(BR$4&lt;4,$U62*(1+$C$137)^BR$4,IF(BR$4&gt;3,$Y62*(1+$C$137)^BR$4)))</f>
        <v>0</v>
      </c>
      <c r="BS62" s="149">
        <f>IF(BS$4=0,$P62,IF(BS$4&lt;4,$U62*(1+$C$137)^BS$4,IF(BS$4&gt;3,$Y62*(1+$C$137)^BS$4)))</f>
        <v>0</v>
      </c>
      <c r="BT62" s="1"/>
      <c r="BU62" s="14"/>
      <c r="BV62" s="93" t="str">
        <f>C62</f>
        <v>Orchard</v>
      </c>
      <c r="BW62" s="14"/>
      <c r="BX62" s="93"/>
      <c r="BY62" s="14"/>
    </row>
    <row r="63" spans="1:77" ht="160" x14ac:dyDescent="0.15">
      <c r="A63" s="14"/>
      <c r="B63" s="1070"/>
      <c r="C63" s="1098" t="s">
        <v>131</v>
      </c>
      <c r="D63" s="478" t="s">
        <v>172</v>
      </c>
      <c r="E63" s="479" t="s">
        <v>170</v>
      </c>
      <c r="F63" s="480"/>
      <c r="G63" s="481">
        <f>1.1+0.1+0.1+0.1+0.1</f>
        <v>1.5000000000000004</v>
      </c>
      <c r="H63" s="482">
        <f>6000*G63</f>
        <v>9000.0000000000018</v>
      </c>
      <c r="I63" s="452" t="s">
        <v>79</v>
      </c>
      <c r="J63" s="483"/>
      <c r="K63" s="484">
        <v>1.5</v>
      </c>
      <c r="L63" s="485">
        <f t="shared" si="21"/>
        <v>13500.000000000004</v>
      </c>
      <c r="M63" s="486"/>
      <c r="N63" s="487">
        <v>1.5</v>
      </c>
      <c r="O63" s="485">
        <f t="shared" si="22"/>
        <v>13500.000000000004</v>
      </c>
      <c r="P63" s="488">
        <f t="shared" si="23"/>
        <v>27000.000000000007</v>
      </c>
      <c r="Q63" s="489" t="s">
        <v>71</v>
      </c>
      <c r="R63" s="490" t="s">
        <v>72</v>
      </c>
      <c r="S63" s="449">
        <v>1</v>
      </c>
      <c r="T63" s="491">
        <f t="shared" si="29"/>
        <v>1350.0000000000005</v>
      </c>
      <c r="U63" s="451">
        <f t="shared" si="26"/>
        <v>1350.0000000000005</v>
      </c>
      <c r="V63" s="452" t="s">
        <v>73</v>
      </c>
      <c r="W63" s="492">
        <v>0.33</v>
      </c>
      <c r="X63" s="493">
        <v>300</v>
      </c>
      <c r="Y63" s="494">
        <f t="shared" ref="Y63:Y64" si="30">(G63)*W63*X63</f>
        <v>148.50000000000006</v>
      </c>
      <c r="Z63" s="1"/>
      <c r="AA63" s="88">
        <f>NPV($C$136,AF63:BS63)+AE63</f>
        <v>33085.714144730657</v>
      </c>
      <c r="AB63" s="74"/>
      <c r="AC63" s="392"/>
      <c r="AD63" s="392"/>
      <c r="AE63" s="149">
        <f>IF(AE$4=0,$P63,IF(AE$4&lt;4,$U63*(1+$C$137)^AE$4,IF(AE$4&gt;3,$Y63*(1+$C$137)^AE$4)))</f>
        <v>27000.000000000007</v>
      </c>
      <c r="AF63" s="149">
        <f>IF(AF$4=0,$P63,IF(AF$4&lt;4,$U63*(1+$C$137)^AF$4,IF(AF$4&gt;3,$Y63*(1+$C$137)^AF$4)))</f>
        <v>1383.7500000000005</v>
      </c>
      <c r="AG63" s="149">
        <f>IF(AG$4=0,$P63,IF(AG$4&lt;4,$U63*(1+$C$137)^AG$4,IF(AG$4&gt;3,$Y63*(1+$C$137)^AG$4)))</f>
        <v>1418.3437500000005</v>
      </c>
      <c r="AH63" s="149">
        <f>IF(AH$4=0,$P63,IF(AH$4&lt;4,$U63*(1+$C$137)^AH$4,IF(AH$4&gt;3,$Y63*(1+$C$137)^AH$4)))</f>
        <v>1453.8023437500003</v>
      </c>
      <c r="AI63" s="149">
        <f>IF(AI$4=0,$P63,IF(AI$4&lt;4,$U63*(1+$C$137)^AI$4,IF(AI$4&gt;3,$Y63*(1+$C$137)^AI$4)))</f>
        <v>163.91621425781253</v>
      </c>
      <c r="AJ63" s="149">
        <f>IF(AJ$4=0,$P63,IF(AJ$4&lt;4,$U63*(1+$C$137)^AJ$4,IF(AJ$4&gt;3,$Y63*(1+$C$137)^AJ$4)))</f>
        <v>168.01411961425782</v>
      </c>
      <c r="AK63" s="149">
        <f>IF(AK$4=0,$P63,IF(AK$4&lt;4,$U63*(1+$C$137)^AK$4,IF(AK$4&gt;3,$Y63*(1+$C$137)^AK$4)))</f>
        <v>172.21447260461426</v>
      </c>
      <c r="AL63" s="149">
        <f>IF(AL$4=0,$P63,IF(AL$4&lt;4,$U63*(1+$C$137)^AL$4,IF(AL$4&gt;3,$Y63*(1+$C$137)^AL$4)))</f>
        <v>176.51983441972962</v>
      </c>
      <c r="AM63" s="149">
        <f>IF(AM$4=0,$P63,IF(AM$4&lt;4,$U63*(1+$C$137)^AM$4,IF(AM$4&gt;3,$Y63*(1+$C$137)^AM$4)))</f>
        <v>180.93283028022284</v>
      </c>
      <c r="AN63" s="149">
        <f>IF(AN$4=0,$P63,IF(AN$4&lt;4,$U63*(1+$C$137)^AN$4,IF(AN$4&gt;3,$Y63*(1+$C$137)^AN$4)))</f>
        <v>185.45615103722838</v>
      </c>
      <c r="AO63" s="149">
        <f>IF(AO$4=0,$P63,IF(AO$4&lt;4,$U63*(1+$C$137)^AO$4,IF(AO$4&gt;3,$Y63*(1+$C$137)^AO$4)))</f>
        <v>190.0925548131591</v>
      </c>
      <c r="AP63" s="149">
        <f>IF(AP$4=0,$P63,IF(AP$4&lt;4,$U63*(1+$C$137)^AP$4,IF(AP$4&gt;3,$Y63*(1+$C$137)^AP$4)))</f>
        <v>194.84486868348807</v>
      </c>
      <c r="AQ63" s="149">
        <f>IF(AQ$4=0,$P63,IF(AQ$4&lt;4,$U63*(1+$C$137)^AQ$4,IF(AQ$4&gt;3,$Y63*(1+$C$137)^AQ$4)))</f>
        <v>199.71599040057527</v>
      </c>
      <c r="AR63" s="149">
        <f>IF(AR$4=0,$P63,IF(AR$4&lt;4,$U63*(1+$C$137)^AR$4,IF(AR$4&gt;3,$Y63*(1+$C$137)^AR$4)))</f>
        <v>204.70889016058962</v>
      </c>
      <c r="AS63" s="149">
        <f>IF(AS$4=0,$P63,IF(AS$4&lt;4,$U63*(1+$C$137)^AS$4,IF(AS$4&gt;3,$Y63*(1+$C$137)^AS$4)))</f>
        <v>209.82661241460434</v>
      </c>
      <c r="AT63" s="149">
        <f>IF(AT$4=0,$P63,IF(AT$4&lt;4,$U63*(1+$C$137)^AT$4,IF(AT$4&gt;3,$Y63*(1+$C$137)^AT$4)))</f>
        <v>215.0722777249695</v>
      </c>
      <c r="AU63" s="149">
        <f>IF(AU$4=0,$P63,IF(AU$4&lt;4,$U63*(1+$C$137)^AU$4,IF(AU$4&gt;3,$Y63*(1+$C$137)^AU$4)))</f>
        <v>220.44908466809372</v>
      </c>
      <c r="AV63" s="149">
        <f>IF(AV$4=0,$P63,IF(AV$4&lt;4,$U63*(1+$C$137)^AV$4,IF(AV$4&gt;3,$Y63*(1+$C$137)^AV$4)))</f>
        <v>225.96031178479603</v>
      </c>
      <c r="AW63" s="149">
        <f>IF(AW$4=0,$P63,IF(AW$4&lt;4,$U63*(1+$C$137)^AW$4,IF(AW$4&gt;3,$Y63*(1+$C$137)^AW$4)))</f>
        <v>231.60931957941594</v>
      </c>
      <c r="AX63" s="149">
        <f>IF(AX$4=0,$P63,IF(AX$4&lt;4,$U63*(1+$C$137)^AX$4,IF(AX$4&gt;3,$Y63*(1+$C$137)^AX$4)))</f>
        <v>237.39955256890133</v>
      </c>
      <c r="AY63" s="149">
        <f>IF(AY$4=0,$P63,IF(AY$4&lt;4,$U63*(1+$C$137)^AY$4,IF(AY$4&gt;3,$Y63*(1+$C$137)^AY$4)))</f>
        <v>243.33454138312382</v>
      </c>
      <c r="AZ63" s="149">
        <f>IF(AZ$4=0,$P63,IF(AZ$4&lt;4,$U63*(1+$C$137)^AZ$4,IF(AZ$4&gt;3,$Y63*(1+$C$137)^AZ$4)))</f>
        <v>249.41790491770189</v>
      </c>
      <c r="BA63" s="149">
        <f>IF(BA$4=0,$P63,IF(BA$4&lt;4,$U63*(1+$C$137)^BA$4,IF(BA$4&gt;3,$Y63*(1+$C$137)^BA$4)))</f>
        <v>255.65335254064445</v>
      </c>
      <c r="BB63" s="149">
        <f>IF(BB$4=0,$P63,IF(BB$4&lt;4,$U63*(1+$C$137)^BB$4,IF(BB$4&gt;3,$Y63*(1+$C$137)^BB$4)))</f>
        <v>262.04468635416055</v>
      </c>
      <c r="BC63" s="149">
        <f>IF(BC$4=0,$P63,IF(BC$4&lt;4,$U63*(1+$C$137)^BC$4,IF(BC$4&gt;3,$Y63*(1+$C$137)^BC$4)))</f>
        <v>268.59580351301457</v>
      </c>
      <c r="BD63" s="149">
        <f>IF(BD$4=0,$P63,IF(BD$4&lt;4,$U63*(1+$C$137)^BD$4,IF(BD$4&gt;3,$Y63*(1+$C$137)^BD$4)))</f>
        <v>275.31069860083988</v>
      </c>
      <c r="BE63" s="149">
        <f>IF(BE$4=0,$P63,IF(BE$4&lt;4,$U63*(1+$C$137)^BE$4,IF(BE$4&gt;3,$Y63*(1+$C$137)^BE$4)))</f>
        <v>282.19346606586083</v>
      </c>
      <c r="BF63" s="149">
        <f>IF(BF$4=0,$P63,IF(BF$4&lt;4,$U63*(1+$C$137)^BF$4,IF(BF$4&gt;3,$Y63*(1+$C$137)^BF$4)))</f>
        <v>289.24830271750739</v>
      </c>
      <c r="BG63" s="149">
        <f>IF(BG$4=0,$P63,IF(BG$4&lt;4,$U63*(1+$C$137)^BG$4,IF(BG$4&gt;3,$Y63*(1+$C$137)^BG$4)))</f>
        <v>296.47951028544503</v>
      </c>
      <c r="BH63" s="149">
        <f>IF(BH$4=0,$P63,IF(BH$4&lt;4,$U63*(1+$C$137)^BH$4,IF(BH$4&gt;3,$Y63*(1+$C$137)^BH$4)))</f>
        <v>303.89149804258119</v>
      </c>
      <c r="BI63" s="149">
        <f>IF(BI$4=0,$P63,IF(BI$4&lt;4,$U63*(1+$C$137)^BI$4,IF(BI$4&gt;3,$Y63*(1+$C$137)^BI$4)))</f>
        <v>311.48878549364565</v>
      </c>
      <c r="BJ63" s="149">
        <f>IF(BJ$4=0,$P63,IF(BJ$4&lt;4,$U63*(1+$C$137)^BJ$4,IF(BJ$4&gt;3,$Y63*(1+$C$137)^BJ$4)))</f>
        <v>319.27600513098685</v>
      </c>
      <c r="BK63" s="149">
        <f>IF(BK$4=0,$P63,IF(BK$4&lt;4,$U63*(1+$C$137)^BK$4,IF(BK$4&gt;3,$Y63*(1+$C$137)^BK$4)))</f>
        <v>327.25790525926146</v>
      </c>
      <c r="BL63" s="149">
        <f>IF(BL$4=0,$P63,IF(BL$4&lt;4,$U63*(1+$C$137)^BL$4,IF(BL$4&gt;3,$Y63*(1+$C$137)^BL$4)))</f>
        <v>335.43935289074301</v>
      </c>
      <c r="BM63" s="149">
        <f>IF(BM$4=0,$P63,IF(BM$4&lt;4,$U63*(1+$C$137)^BM$4,IF(BM$4&gt;3,$Y63*(1+$C$137)^BM$4)))</f>
        <v>343.82533671301155</v>
      </c>
      <c r="BN63" s="149">
        <f>IF(BN$4=0,$P63,IF(BN$4&lt;4,$U63*(1+$C$137)^BN$4,IF(BN$4&gt;3,$Y63*(1+$C$137)^BN$4)))</f>
        <v>352.42097013083679</v>
      </c>
      <c r="BO63" s="149">
        <f>IF(BO$4=0,$P63,IF(BO$4&lt;4,$U63*(1+$C$137)^BO$4,IF(BO$4&gt;3,$Y63*(1+$C$137)^BO$4)))</f>
        <v>361.23149438410775</v>
      </c>
      <c r="BP63" s="149">
        <f>IF(BP$4=0,$P63,IF(BP$4&lt;4,$U63*(1+$C$137)^BP$4,IF(BP$4&gt;3,$Y63*(1+$C$137)^BP$4)))</f>
        <v>370.26228174371039</v>
      </c>
      <c r="BQ63" s="149">
        <f>IF(BQ$4=0,$P63,IF(BQ$4&lt;4,$U63*(1+$C$137)^BQ$4,IF(BQ$4&gt;3,$Y63*(1+$C$137)^BQ$4)))</f>
        <v>379.51883878730308</v>
      </c>
      <c r="BR63" s="149">
        <f>IF(BR$4=0,$P63,IF(BR$4&lt;4,$U63*(1+$C$137)^BR$4,IF(BR$4&gt;3,$Y63*(1+$C$137)^BR$4)))</f>
        <v>389.00680975698572</v>
      </c>
      <c r="BS63" s="149">
        <f>IF(BS$4=0,$P63,IF(BS$4&lt;4,$U63*(1+$C$137)^BS$4,IF(BS$4&gt;3,$Y63*(1+$C$137)^BS$4)))</f>
        <v>398.73198000091026</v>
      </c>
      <c r="BT63" s="1"/>
      <c r="BU63" s="14"/>
      <c r="BV63" s="23" t="s">
        <v>131</v>
      </c>
      <c r="BW63" s="14"/>
      <c r="BX63" s="93"/>
      <c r="BY63" s="14"/>
    </row>
    <row r="64" spans="1:77" ht="64" x14ac:dyDescent="0.15">
      <c r="A64" s="14"/>
      <c r="B64" s="1070"/>
      <c r="C64" s="1049"/>
      <c r="D64" s="65" t="s">
        <v>80</v>
      </c>
      <c r="E64" s="66" t="s">
        <v>173</v>
      </c>
      <c r="F64" s="495"/>
      <c r="G64" s="496">
        <v>0.2</v>
      </c>
      <c r="H64" s="497">
        <v>800</v>
      </c>
      <c r="I64" s="14" t="s">
        <v>81</v>
      </c>
      <c r="J64" s="114"/>
      <c r="K64" s="498">
        <v>1.21485</v>
      </c>
      <c r="L64" s="499">
        <f t="shared" si="21"/>
        <v>971.88</v>
      </c>
      <c r="M64" s="124"/>
      <c r="N64" s="500"/>
      <c r="O64" s="499">
        <f t="shared" si="22"/>
        <v>0</v>
      </c>
      <c r="P64" s="164">
        <f t="shared" si="23"/>
        <v>971.88</v>
      </c>
      <c r="Q64" s="2" t="s">
        <v>71</v>
      </c>
      <c r="R64" s="103" t="s">
        <v>72</v>
      </c>
      <c r="S64" s="501">
        <v>1</v>
      </c>
      <c r="T64" s="502">
        <f>(L64+O64)*0.05</f>
        <v>48.594000000000001</v>
      </c>
      <c r="U64" s="104">
        <f t="shared" si="26"/>
        <v>48.594000000000001</v>
      </c>
      <c r="V64" s="14" t="s">
        <v>73</v>
      </c>
      <c r="W64" s="503">
        <v>0.33</v>
      </c>
      <c r="X64" s="504">
        <v>300</v>
      </c>
      <c r="Y64" s="105">
        <f t="shared" si="30"/>
        <v>19.8</v>
      </c>
      <c r="Z64" s="1"/>
      <c r="AA64" s="88">
        <f>NPV($C$136,AF64:BS64)+AE64</f>
        <v>1421.3291724243027</v>
      </c>
      <c r="AB64" s="74"/>
      <c r="AC64" s="392"/>
      <c r="AD64" s="392"/>
      <c r="AE64" s="149">
        <f>IF(AE$4=0,$P64,IF(AE$4&lt;4,$U64*(1+$C$137)^AE$4,IF(AE$4&gt;3,$Y64*(1+$C$137)^AE$4)))</f>
        <v>971.88</v>
      </c>
      <c r="AF64" s="149">
        <f>IF(AF$4=0,$P64,IF(AF$4&lt;4,$U64*(1+$C$137)^AF$4,IF(AF$4&gt;3,$Y64*(1+$C$137)^AF$4)))</f>
        <v>49.80885</v>
      </c>
      <c r="AG64" s="149">
        <f>IF(AG$4=0,$P64,IF(AG$4&lt;4,$U64*(1+$C$137)^AG$4,IF(AG$4&gt;3,$Y64*(1+$C$137)^AG$4)))</f>
        <v>51.05407125</v>
      </c>
      <c r="AH64" s="149">
        <f>IF(AH$4=0,$P64,IF(AH$4&lt;4,$U64*(1+$C$137)^AH$4,IF(AH$4&gt;3,$Y64*(1+$C$137)^AH$4)))</f>
        <v>52.330423031249993</v>
      </c>
      <c r="AI64" s="149">
        <f>IF(AI$4=0,$P64,IF(AI$4&lt;4,$U64*(1+$C$137)^AI$4,IF(AI$4&gt;3,$Y64*(1+$C$137)^AI$4)))</f>
        <v>21.855495234374995</v>
      </c>
      <c r="AJ64" s="149">
        <f>IF(AJ$4=0,$P64,IF(AJ$4&lt;4,$U64*(1+$C$137)^AJ$4,IF(AJ$4&gt;3,$Y64*(1+$C$137)^AJ$4)))</f>
        <v>22.401882615234371</v>
      </c>
      <c r="AK64" s="149">
        <f>IF(AK$4=0,$P64,IF(AK$4&lt;4,$U64*(1+$C$137)^AK$4,IF(AK$4&gt;3,$Y64*(1+$C$137)^AK$4)))</f>
        <v>22.961929680615228</v>
      </c>
      <c r="AL64" s="149">
        <f>IF(AL$4=0,$P64,IF(AL$4&lt;4,$U64*(1+$C$137)^AL$4,IF(AL$4&gt;3,$Y64*(1+$C$137)^AL$4)))</f>
        <v>23.535977922630607</v>
      </c>
      <c r="AM64" s="149">
        <f>IF(AM$4=0,$P64,IF(AM$4&lt;4,$U64*(1+$C$137)^AM$4,IF(AM$4&gt;3,$Y64*(1+$C$137)^AM$4)))</f>
        <v>24.124377370696372</v>
      </c>
      <c r="AN64" s="149">
        <f>IF(AN$4=0,$P64,IF(AN$4&lt;4,$U64*(1+$C$137)^AN$4,IF(AN$4&gt;3,$Y64*(1+$C$137)^AN$4)))</f>
        <v>24.727486804963778</v>
      </c>
      <c r="AO64" s="149">
        <f>IF(AO$4=0,$P64,IF(AO$4&lt;4,$U64*(1+$C$137)^AO$4,IF(AO$4&gt;3,$Y64*(1+$C$137)^AO$4)))</f>
        <v>25.34567397508787</v>
      </c>
      <c r="AP64" s="149">
        <f>IF(AP$4=0,$P64,IF(AP$4&lt;4,$U64*(1+$C$137)^AP$4,IF(AP$4&gt;3,$Y64*(1+$C$137)^AP$4)))</f>
        <v>25.979315824465068</v>
      </c>
      <c r="AQ64" s="149">
        <f>IF(AQ$4=0,$P64,IF(AQ$4&lt;4,$U64*(1+$C$137)^AQ$4,IF(AQ$4&gt;3,$Y64*(1+$C$137)^AQ$4)))</f>
        <v>26.628798720076691</v>
      </c>
      <c r="AR64" s="149">
        <f>IF(AR$4=0,$P64,IF(AR$4&lt;4,$U64*(1+$C$137)^AR$4,IF(AR$4&gt;3,$Y64*(1+$C$137)^AR$4)))</f>
        <v>27.294518688078607</v>
      </c>
      <c r="AS64" s="149">
        <f>IF(AS$4=0,$P64,IF(AS$4&lt;4,$U64*(1+$C$137)^AS$4,IF(AS$4&gt;3,$Y64*(1+$C$137)^AS$4)))</f>
        <v>27.976881655280572</v>
      </c>
      <c r="AT64" s="149">
        <f>IF(AT$4=0,$P64,IF(AT$4&lt;4,$U64*(1+$C$137)^AT$4,IF(AT$4&gt;3,$Y64*(1+$C$137)^AT$4)))</f>
        <v>28.67630369666259</v>
      </c>
      <c r="AU64" s="149">
        <f>IF(AU$4=0,$P64,IF(AU$4&lt;4,$U64*(1+$C$137)^AU$4,IF(AU$4&gt;3,$Y64*(1+$C$137)^AU$4)))</f>
        <v>29.393211289079151</v>
      </c>
      <c r="AV64" s="149">
        <f>IF(AV$4=0,$P64,IF(AV$4&lt;4,$U64*(1+$C$137)^AV$4,IF(AV$4&gt;3,$Y64*(1+$C$137)^AV$4)))</f>
        <v>30.128041571306124</v>
      </c>
      <c r="AW64" s="149">
        <f>IF(AW$4=0,$P64,IF(AW$4&lt;4,$U64*(1+$C$137)^AW$4,IF(AW$4&gt;3,$Y64*(1+$C$137)^AW$4)))</f>
        <v>30.881242610588782</v>
      </c>
      <c r="AX64" s="149">
        <f>IF(AX$4=0,$P64,IF(AX$4&lt;4,$U64*(1+$C$137)^AX$4,IF(AX$4&gt;3,$Y64*(1+$C$137)^AX$4)))</f>
        <v>31.653273675853502</v>
      </c>
      <c r="AY64" s="149">
        <f>IF(AY$4=0,$P64,IF(AY$4&lt;4,$U64*(1+$C$137)^AY$4,IF(AY$4&gt;3,$Y64*(1+$C$137)^AY$4)))</f>
        <v>32.444605517749835</v>
      </c>
      <c r="AZ64" s="149">
        <f>IF(AZ$4=0,$P64,IF(AZ$4&lt;4,$U64*(1+$C$137)^AZ$4,IF(AZ$4&gt;3,$Y64*(1+$C$137)^AZ$4)))</f>
        <v>33.255720655693572</v>
      </c>
      <c r="BA64" s="149">
        <f>IF(BA$4=0,$P64,IF(BA$4&lt;4,$U64*(1+$C$137)^BA$4,IF(BA$4&gt;3,$Y64*(1+$C$137)^BA$4)))</f>
        <v>34.087113672085913</v>
      </c>
      <c r="BB64" s="149">
        <f>IF(BB$4=0,$P64,IF(BB$4&lt;4,$U64*(1+$C$137)^BB$4,IF(BB$4&gt;3,$Y64*(1+$C$137)^BB$4)))</f>
        <v>34.939291513888065</v>
      </c>
      <c r="BC64" s="149">
        <f>IF(BC$4=0,$P64,IF(BC$4&lt;4,$U64*(1+$C$137)^BC$4,IF(BC$4&gt;3,$Y64*(1+$C$137)^BC$4)))</f>
        <v>35.812773801735261</v>
      </c>
      <c r="BD64" s="149">
        <f>IF(BD$4=0,$P64,IF(BD$4&lt;4,$U64*(1+$C$137)^BD$4,IF(BD$4&gt;3,$Y64*(1+$C$137)^BD$4)))</f>
        <v>36.708093146778637</v>
      </c>
      <c r="BE64" s="149">
        <f>IF(BE$4=0,$P64,IF(BE$4&lt;4,$U64*(1+$C$137)^BE$4,IF(BE$4&gt;3,$Y64*(1+$C$137)^BE$4)))</f>
        <v>37.625795475448101</v>
      </c>
      <c r="BF64" s="149">
        <f>IF(BF$4=0,$P64,IF(BF$4&lt;4,$U64*(1+$C$137)^BF$4,IF(BF$4&gt;3,$Y64*(1+$C$137)^BF$4)))</f>
        <v>38.566440362334305</v>
      </c>
      <c r="BG64" s="149">
        <f>IF(BG$4=0,$P64,IF(BG$4&lt;4,$U64*(1+$C$137)^BG$4,IF(BG$4&gt;3,$Y64*(1+$C$137)^BG$4)))</f>
        <v>39.530601371392656</v>
      </c>
      <c r="BH64" s="149">
        <f>IF(BH$4=0,$P64,IF(BH$4&lt;4,$U64*(1+$C$137)^BH$4,IF(BH$4&gt;3,$Y64*(1+$C$137)^BH$4)))</f>
        <v>40.518866405677478</v>
      </c>
      <c r="BI64" s="149">
        <f>IF(BI$4=0,$P64,IF(BI$4&lt;4,$U64*(1+$C$137)^BI$4,IF(BI$4&gt;3,$Y64*(1+$C$137)^BI$4)))</f>
        <v>41.531838065819407</v>
      </c>
      <c r="BJ64" s="149">
        <f>IF(BJ$4=0,$P64,IF(BJ$4&lt;4,$U64*(1+$C$137)^BJ$4,IF(BJ$4&gt;3,$Y64*(1+$C$137)^BJ$4)))</f>
        <v>42.570134017464902</v>
      </c>
      <c r="BK64" s="149">
        <f>IF(BK$4=0,$P64,IF(BK$4&lt;4,$U64*(1+$C$137)^BK$4,IF(BK$4&gt;3,$Y64*(1+$C$137)^BK$4)))</f>
        <v>43.634387367901518</v>
      </c>
      <c r="BL64" s="149">
        <f>IF(BL$4=0,$P64,IF(BL$4&lt;4,$U64*(1+$C$137)^BL$4,IF(BL$4&gt;3,$Y64*(1+$C$137)^BL$4)))</f>
        <v>44.72524705209905</v>
      </c>
      <c r="BM64" s="149">
        <f>IF(BM$4=0,$P64,IF(BM$4&lt;4,$U64*(1+$C$137)^BM$4,IF(BM$4&gt;3,$Y64*(1+$C$137)^BM$4)))</f>
        <v>45.843378228401527</v>
      </c>
      <c r="BN64" s="149">
        <f>IF(BN$4=0,$P64,IF(BN$4&lt;4,$U64*(1+$C$137)^BN$4,IF(BN$4&gt;3,$Y64*(1+$C$137)^BN$4)))</f>
        <v>46.989462684111558</v>
      </c>
      <c r="BO64" s="149">
        <f>IF(BO$4=0,$P64,IF(BO$4&lt;4,$U64*(1+$C$137)^BO$4,IF(BO$4&gt;3,$Y64*(1+$C$137)^BO$4)))</f>
        <v>48.164199251214349</v>
      </c>
      <c r="BP64" s="149">
        <f>IF(BP$4=0,$P64,IF(BP$4&lt;4,$U64*(1+$C$137)^BP$4,IF(BP$4&gt;3,$Y64*(1+$C$137)^BP$4)))</f>
        <v>49.368304232494701</v>
      </c>
      <c r="BQ64" s="149">
        <f>IF(BQ$4=0,$P64,IF(BQ$4&lt;4,$U64*(1+$C$137)^BQ$4,IF(BQ$4&gt;3,$Y64*(1+$C$137)^BQ$4)))</f>
        <v>50.602511838307059</v>
      </c>
      <c r="BR64" s="149">
        <f>IF(BR$4=0,$P64,IF(BR$4&lt;4,$U64*(1+$C$137)^BR$4,IF(BR$4&gt;3,$Y64*(1+$C$137)^BR$4)))</f>
        <v>51.867574634264741</v>
      </c>
      <c r="BS64" s="149">
        <f>IF(BS$4=0,$P64,IF(BS$4&lt;4,$U64*(1+$C$137)^BS$4,IF(BS$4&gt;3,$Y64*(1+$C$137)^BS$4)))</f>
        <v>53.164264000121349</v>
      </c>
      <c r="BT64" s="1"/>
      <c r="BU64" s="14"/>
      <c r="BV64" s="23" t="str">
        <f>C63</f>
        <v>Hedgerows</v>
      </c>
      <c r="BW64" s="14"/>
      <c r="BX64" s="93"/>
      <c r="BY64" s="14"/>
    </row>
    <row r="65" spans="1:77" ht="32" x14ac:dyDescent="0.15">
      <c r="A65" s="14"/>
      <c r="B65" s="1070"/>
      <c r="C65" s="1049"/>
      <c r="D65" s="456" t="s">
        <v>82</v>
      </c>
      <c r="E65" s="457" t="s">
        <v>174</v>
      </c>
      <c r="F65" s="505">
        <f>0.4*0.3</f>
        <v>0.12</v>
      </c>
      <c r="G65" s="970"/>
      <c r="H65" s="506"/>
      <c r="I65" s="119" t="s">
        <v>83</v>
      </c>
      <c r="J65" s="91"/>
      <c r="K65" s="971">
        <v>2000</v>
      </c>
      <c r="L65" s="462">
        <f t="shared" si="21"/>
        <v>240</v>
      </c>
      <c r="M65" s="118"/>
      <c r="N65" s="972">
        <v>3000</v>
      </c>
      <c r="O65" s="462">
        <f t="shared" si="22"/>
        <v>360</v>
      </c>
      <c r="P65" s="973">
        <f t="shared" si="23"/>
        <v>600</v>
      </c>
      <c r="Q65" s="117" t="s">
        <v>84</v>
      </c>
      <c r="R65" s="125"/>
      <c r="S65" s="507"/>
      <c r="T65" s="508"/>
      <c r="U65" s="92">
        <f t="shared" si="26"/>
        <v>0</v>
      </c>
      <c r="V65" s="119" t="s">
        <v>85</v>
      </c>
      <c r="W65" s="509"/>
      <c r="X65" s="510"/>
      <c r="Y65" s="511">
        <f>(O65)</f>
        <v>360</v>
      </c>
      <c r="Z65" s="1"/>
      <c r="AA65" s="88">
        <f>NPV($C$136,AF65:BS65)+AE65</f>
        <v>897.66433666462717</v>
      </c>
      <c r="AB65" s="74"/>
      <c r="AC65" s="392"/>
      <c r="AD65" s="392"/>
      <c r="AE65" s="149">
        <f>IF(AE$4=0,$P65,IF(AE$4&lt;4,$U65*(1+$C$137)^AF$4,IF(AE$4=5,$Y65*(1+$C$137)^AF$4,0)))</f>
        <v>600</v>
      </c>
      <c r="AF65" s="149">
        <f>IF(AF$4=0,$P65,IF(AF$4&lt;4,$U65*(1+$C$137)^AG$4,IF(AF$4=5,$Y65*(1+$C$137)^AG$4,0)))</f>
        <v>0</v>
      </c>
      <c r="AG65" s="149">
        <f>IF(AG$4=0,$P65,IF(AG$4&lt;4,$U65*(1+$C$137)^AH$4,IF(AG$4=5,$Y65*(1+$C$137)^AH$4,0)))</f>
        <v>0</v>
      </c>
      <c r="AH65" s="149">
        <f>IF(AH$4=0,$P65,IF(AH$4&lt;4,$U65*(1+$C$137)^AI$4,IF(AH$4=5,$Y65*(1+$C$137)^AI$4,0)))</f>
        <v>0</v>
      </c>
      <c r="AI65" s="149">
        <f>IF(AI$4=0,$P65,IF(AI$4&lt;4,$U65*(1+$C$137)^AJ$4,IF(AI$4=5,$Y65*(1+$C$137)^AJ$4,0)))</f>
        <v>0</v>
      </c>
      <c r="AJ65" s="149">
        <f>IF(AJ$4=0,$P65,IF(AJ$4&lt;4,$U65*(1+$C$137)^AK$4,IF(AJ$4=5,$Y65*(1+$C$137)^AK$4,0)))</f>
        <v>417.48963055664046</v>
      </c>
      <c r="AK65" s="149">
        <f>IF(AK$4=0,$P65,IF(AK$4&lt;4,$U65*(1+$C$137)^AL$4,IF(AK$4=5,$Y65*(1+$C$137)^AL$4,0)))</f>
        <v>0</v>
      </c>
      <c r="AL65" s="149">
        <f>IF(AL$4=0,$P65,IF(AL$4&lt;4,$U65*(1+$C$137)^AM$4,IF(AL$4=5,$Y65*(1+$C$137)^AM$4,0)))</f>
        <v>0</v>
      </c>
      <c r="AM65" s="149">
        <f>IF(AM$4=0,$P65,IF(AM$4&lt;4,$U65*(1+$C$137)^AN$4,IF(AM$4=5,$Y65*(1+$C$137)^AN$4,0)))</f>
        <v>0</v>
      </c>
      <c r="AN65" s="149">
        <f>IF(AN$4=0,$P65,IF(AN$4&lt;4,$U65*(1+$C$137)^AO$4,IF(AN$4=5,$Y65*(1+$C$137)^AO$4,0)))</f>
        <v>0</v>
      </c>
      <c r="AO65" s="149">
        <f>IF(AO$4=0,$P65,IF(AO$4&lt;4,$U65*(1+$C$137)^AP$4,IF(AO$4=5,$Y65*(1+$C$137)^AP$4,0)))</f>
        <v>0</v>
      </c>
      <c r="AP65" s="149">
        <f>IF(AP$4=0,$P65,IF(AP$4&lt;4,$U65*(1+$C$137)^AQ$4,IF(AP$4=5,$Y65*(1+$C$137)^AQ$4,0)))</f>
        <v>0</v>
      </c>
      <c r="AQ65" s="149">
        <f>IF(AQ$4=0,$P65,IF(AQ$4&lt;4,$U65*(1+$C$137)^AR$4,IF(AQ$4=5,$Y65*(1+$C$137)^AR$4,0)))</f>
        <v>0</v>
      </c>
      <c r="AR65" s="149">
        <f>IF(AR$4=0,$P65,IF(AR$4&lt;4,$U65*(1+$C$137)^AS$4,IF(AR$4=5,$Y65*(1+$C$137)^AS$4,0)))</f>
        <v>0</v>
      </c>
      <c r="AS65" s="149">
        <f>IF(AS$4=0,$P65,IF(AS$4&lt;4,$U65*(1+$C$137)^AT$4,IF(AS$4=5,$Y65*(1+$C$137)^AT$4,0)))</f>
        <v>0</v>
      </c>
      <c r="AT65" s="149">
        <f>IF(AT$4=0,$P65,IF(AT$4&lt;4,$U65*(1+$C$137)^AU$4,IF(AT$4=5,$Y65*(1+$C$137)^AU$4,0)))</f>
        <v>0</v>
      </c>
      <c r="AU65" s="149">
        <f>IF(AU$4=0,$P65,IF(AU$4&lt;4,$U65*(1+$C$137)^AV$4,IF(AU$4=5,$Y65*(1+$C$137)^AV$4,0)))</f>
        <v>0</v>
      </c>
      <c r="AV65" s="149">
        <f>IF(AV$4=0,$P65,IF(AV$4&lt;4,$U65*(1+$C$137)^AW$4,IF(AV$4=5,$Y65*(1+$C$137)^AW$4,0)))</f>
        <v>0</v>
      </c>
      <c r="AW65" s="149">
        <f>IF(AW$4=0,$P65,IF(AW$4&lt;4,$U65*(1+$C$137)^AX$4,IF(AW$4=5,$Y65*(1+$C$137)^AX$4,0)))</f>
        <v>0</v>
      </c>
      <c r="AX65" s="149">
        <f>IF(AX$4=0,$P65,IF(AX$4&lt;4,$U65*(1+$C$137)^AY$4,IF(AX$4=5,$Y65*(1+$C$137)^AY$4,0)))</f>
        <v>0</v>
      </c>
      <c r="AY65" s="149">
        <f>IF(AY$4=0,$P65,IF(AY$4&lt;4,$U65*(1+$C$137)^AZ$4,IF(AY$4=5,$Y65*(1+$C$137)^AZ$4,0)))</f>
        <v>0</v>
      </c>
      <c r="AZ65" s="149">
        <f>IF(AZ$4=0,$P65,IF(AZ$4&lt;4,$U65*(1+$C$137)^BA$4,IF(AZ$4=5,$Y65*(1+$C$137)^BA$4,0)))</f>
        <v>0</v>
      </c>
      <c r="BA65" s="149">
        <f>IF(BA$4=0,$P65,IF(BA$4&lt;4,$U65*(1+$C$137)^BB$4,IF(BA$4=5,$Y65*(1+$C$137)^BB$4,0)))</f>
        <v>0</v>
      </c>
      <c r="BB65" s="149">
        <f>IF(BB$4=0,$P65,IF(BB$4&lt;4,$U65*(1+$C$137)^BC$4,IF(BB$4=5,$Y65*(1+$C$137)^BC$4,0)))</f>
        <v>0</v>
      </c>
      <c r="BC65" s="149">
        <f>IF(BC$4=0,$P65,IF(BC$4&lt;4,$U65*(1+$C$137)^BD$4,IF(BC$4=5,$Y65*(1+$C$137)^BD$4,0)))</f>
        <v>0</v>
      </c>
      <c r="BD65" s="149">
        <f>IF(BD$4=0,$P65,IF(BD$4&lt;4,$U65*(1+$C$137)^BE$4,IF(BD$4=5,$Y65*(1+$C$137)^BE$4,0)))</f>
        <v>0</v>
      </c>
      <c r="BE65" s="149">
        <f>IF(BE$4=0,$P65,IF(BE$4&lt;4,$U65*(1+$C$137)^BF$4,IF(BE$4=5,$Y65*(1+$C$137)^BF$4,0)))</f>
        <v>0</v>
      </c>
      <c r="BF65" s="149">
        <f>IF(BF$4=0,$P65,IF(BF$4&lt;4,$U65*(1+$C$137)^BG$4,IF(BF$4=5,$Y65*(1+$C$137)^BG$4,0)))</f>
        <v>0</v>
      </c>
      <c r="BG65" s="149">
        <f>IF(BG$4=0,$P65,IF(BG$4&lt;4,$U65*(1+$C$137)^BH$4,IF(BG$4=5,$Y65*(1+$C$137)^BH$4,0)))</f>
        <v>0</v>
      </c>
      <c r="BH65" s="149">
        <f>IF(BH$4=0,$P65,IF(BH$4&lt;4,$U65*(1+$C$137)^BI$4,IF(BH$4=5,$Y65*(1+$C$137)^BI$4,0)))</f>
        <v>0</v>
      </c>
      <c r="BI65" s="149">
        <f>IF(BI$4=0,$P65,IF(BI$4&lt;4,$U65*(1+$C$137)^BJ$4,IF(BI$4=5,$Y65*(1+$C$137)^BJ$4,0)))</f>
        <v>0</v>
      </c>
      <c r="BJ65" s="149">
        <f>IF(BJ$4=0,$P65,IF(BJ$4&lt;4,$U65*(1+$C$137)^BK$4,IF(BJ$4=5,$Y65*(1+$C$137)^BK$4,0)))</f>
        <v>0</v>
      </c>
      <c r="BK65" s="149">
        <f>IF(BK$4=0,$P65,IF(BK$4&lt;4,$U65*(1+$C$137)^BL$4,IF(BK$4=5,$Y65*(1+$C$137)^BL$4,0)))</f>
        <v>0</v>
      </c>
      <c r="BL65" s="149">
        <f>IF(BL$4=0,$P65,IF(BL$4&lt;4,$U65*(1+$C$137)^BM$4,IF(BL$4=5,$Y65*(1+$C$137)^BM$4,0)))</f>
        <v>0</v>
      </c>
      <c r="BM65" s="149">
        <f>IF(BM$4=0,$P65,IF(BM$4&lt;4,$U65*(1+$C$137)^BN$4,IF(BM$4=5,$Y65*(1+$C$137)^BN$4,0)))</f>
        <v>0</v>
      </c>
      <c r="BN65" s="149">
        <f>IF(BN$4=0,$P65,IF(BN$4&lt;4,$U65*(1+$C$137)^BO$4,IF(BN$4=5,$Y65*(1+$C$137)^BO$4,0)))</f>
        <v>0</v>
      </c>
      <c r="BO65" s="149">
        <f>IF(BO$4=0,$P65,IF(BO$4&lt;4,$U65*(1+$C$137)^BP$4,IF(BO$4=5,$Y65*(1+$C$137)^BP$4,0)))</f>
        <v>0</v>
      </c>
      <c r="BP65" s="149">
        <f>IF(BP$4=0,$P65,IF(BP$4&lt;4,$U65*(1+$C$137)^BQ$4,IF(BP$4=5,$Y65*(1+$C$137)^BQ$4,0)))</f>
        <v>0</v>
      </c>
      <c r="BQ65" s="149">
        <f>IF(BQ$4=0,$P65,IF(BQ$4&lt;4,$U65*(1+$C$137)^BR$4,IF(BQ$4=5,$Y65*(1+$C$137)^BR$4,0)))</f>
        <v>0</v>
      </c>
      <c r="BR65" s="149">
        <f>IF(BR$4=0,$P65,IF(BR$4&lt;4,$U65*(1+$C$137)^BS$4,IF(BR$4=5,$Y65*(1+$C$137)^BS$4,0)))</f>
        <v>0</v>
      </c>
      <c r="BS65" s="149">
        <f>IF(BS$4=0,$P65,IF(BS$4&lt;4,$U65*(1+$C$137)^BT$4,IF(BS$4=5,$Y65*(1+$C$137)^BT$4,0)))</f>
        <v>0</v>
      </c>
      <c r="BT65" s="1"/>
      <c r="BU65" s="14"/>
      <c r="BV65" s="23" t="str">
        <f t="shared" ref="BV65:BV66" si="31">BV63</f>
        <v>Hedgerows</v>
      </c>
      <c r="BW65" s="14"/>
      <c r="BX65" s="93"/>
      <c r="BY65" s="14"/>
    </row>
    <row r="66" spans="1:77" ht="48" x14ac:dyDescent="0.15">
      <c r="A66" s="14"/>
      <c r="B66" s="1070"/>
      <c r="C66" s="1056"/>
      <c r="D66" s="25" t="s">
        <v>86</v>
      </c>
      <c r="E66" s="26" t="s">
        <v>174</v>
      </c>
      <c r="F66" s="475"/>
      <c r="G66" s="512">
        <v>0.44</v>
      </c>
      <c r="H66" s="466">
        <v>2640</v>
      </c>
      <c r="I66" s="98" t="s">
        <v>81</v>
      </c>
      <c r="J66" s="123"/>
      <c r="K66" s="467">
        <v>1.21485</v>
      </c>
      <c r="L66" s="468">
        <f t="shared" si="21"/>
        <v>3207.2040000000002</v>
      </c>
      <c r="M66" s="122"/>
      <c r="N66" s="974"/>
      <c r="O66" s="468">
        <f t="shared" si="22"/>
        <v>0</v>
      </c>
      <c r="P66" s="94">
        <f t="shared" si="23"/>
        <v>3207.2040000000002</v>
      </c>
      <c r="Q66" s="120" t="s">
        <v>71</v>
      </c>
      <c r="R66" s="100" t="s">
        <v>72</v>
      </c>
      <c r="S66" s="470">
        <v>1</v>
      </c>
      <c r="T66" s="471">
        <f>(L66+O66)*0.05</f>
        <v>160.36020000000002</v>
      </c>
      <c r="U66" s="96">
        <f t="shared" si="26"/>
        <v>160.36020000000002</v>
      </c>
      <c r="V66" s="98" t="s">
        <v>73</v>
      </c>
      <c r="W66" s="513">
        <v>0.33</v>
      </c>
      <c r="X66" s="428">
        <v>300</v>
      </c>
      <c r="Y66" s="97">
        <f t="shared" ref="Y66:Y67" si="32">(G66)*W66*X66</f>
        <v>43.56</v>
      </c>
      <c r="Z66" s="1"/>
      <c r="AA66" s="88">
        <f>NPV($C$136,AF66:BS66)+AE66</f>
        <v>4343.2383370578273</v>
      </c>
      <c r="AB66" s="74"/>
      <c r="AC66" s="392"/>
      <c r="AD66" s="392"/>
      <c r="AE66" s="149">
        <f>IF(AE$4=0,$P66,IF(AE$4&lt;4,$U66*(1+$C$137)^AE$4,IF(AE$4&gt;3,$Y66*(1+$C$137)^AE$4)))</f>
        <v>3207.2040000000002</v>
      </c>
      <c r="AF66" s="149">
        <f>IF(AF$4=0,$P66,IF(AF$4&lt;4,$U66*(1+$C$137)^AF$4,IF(AF$4&gt;3,$Y66*(1+$C$137)^AF$4)))</f>
        <v>164.36920499999999</v>
      </c>
      <c r="AG66" s="149">
        <f>IF(AG$4=0,$P66,IF(AG$4&lt;4,$U66*(1+$C$137)^AG$4,IF(AG$4&gt;3,$Y66*(1+$C$137)^AG$4)))</f>
        <v>168.478435125</v>
      </c>
      <c r="AH66" s="149">
        <f>IF(AH$4=0,$P66,IF(AH$4&lt;4,$U66*(1+$C$137)^AH$4,IF(AH$4&gt;3,$Y66*(1+$C$137)^AH$4)))</f>
        <v>172.69039600312502</v>
      </c>
      <c r="AI66" s="149">
        <f>IF(AI$4=0,$P66,IF(AI$4&lt;4,$U66*(1+$C$137)^AI$4,IF(AI$4&gt;3,$Y66*(1+$C$137)^AI$4)))</f>
        <v>48.082089515624993</v>
      </c>
      <c r="AJ66" s="149">
        <f>IF(AJ$4=0,$P66,IF(AJ$4&lt;4,$U66*(1+$C$137)^AJ$4,IF(AJ$4&gt;3,$Y66*(1+$C$137)^AJ$4)))</f>
        <v>49.284141753515613</v>
      </c>
      <c r="AK66" s="149">
        <f>IF(AK$4=0,$P66,IF(AK$4&lt;4,$U66*(1+$C$137)^AK$4,IF(AK$4&gt;3,$Y66*(1+$C$137)^AK$4)))</f>
        <v>50.5162452973535</v>
      </c>
      <c r="AL66" s="149">
        <f>IF(AL$4=0,$P66,IF(AL$4&lt;4,$U66*(1+$C$137)^AL$4,IF(AL$4&gt;3,$Y66*(1+$C$137)^AL$4)))</f>
        <v>51.779151429787341</v>
      </c>
      <c r="AM66" s="149">
        <f>IF(AM$4=0,$P66,IF(AM$4&lt;4,$U66*(1+$C$137)^AM$4,IF(AM$4&gt;3,$Y66*(1+$C$137)^AM$4)))</f>
        <v>53.07363021553202</v>
      </c>
      <c r="AN66" s="149">
        <f>IF(AN$4=0,$P66,IF(AN$4&lt;4,$U66*(1+$C$137)^AN$4,IF(AN$4&gt;3,$Y66*(1+$C$137)^AN$4)))</f>
        <v>54.40047097092031</v>
      </c>
      <c r="AO66" s="149">
        <f>IF(AO$4=0,$P66,IF(AO$4&lt;4,$U66*(1+$C$137)^AO$4,IF(AO$4&gt;3,$Y66*(1+$C$137)^AO$4)))</f>
        <v>55.760482745193315</v>
      </c>
      <c r="AP66" s="149">
        <f>IF(AP$4=0,$P66,IF(AP$4&lt;4,$U66*(1+$C$137)^AP$4,IF(AP$4&gt;3,$Y66*(1+$C$137)^AP$4)))</f>
        <v>57.154494813823149</v>
      </c>
      <c r="AQ66" s="149">
        <f>IF(AQ$4=0,$P66,IF(AQ$4&lt;4,$U66*(1+$C$137)^AQ$4,IF(AQ$4&gt;3,$Y66*(1+$C$137)^AQ$4)))</f>
        <v>58.583357184168726</v>
      </c>
      <c r="AR66" s="149">
        <f>IF(AR$4=0,$P66,IF(AR$4&lt;4,$U66*(1+$C$137)^AR$4,IF(AR$4&gt;3,$Y66*(1+$C$137)^AR$4)))</f>
        <v>60.047941113772936</v>
      </c>
      <c r="AS66" s="149">
        <f>IF(AS$4=0,$P66,IF(AS$4&lt;4,$U66*(1+$C$137)^AS$4,IF(AS$4&gt;3,$Y66*(1+$C$137)^AS$4)))</f>
        <v>61.549139641617252</v>
      </c>
      <c r="AT66" s="149">
        <f>IF(AT$4=0,$P66,IF(AT$4&lt;4,$U66*(1+$C$137)^AT$4,IF(AT$4&gt;3,$Y66*(1+$C$137)^AT$4)))</f>
        <v>63.087868132657697</v>
      </c>
      <c r="AU66" s="149">
        <f>IF(AU$4=0,$P66,IF(AU$4&lt;4,$U66*(1+$C$137)^AU$4,IF(AU$4&gt;3,$Y66*(1+$C$137)^AU$4)))</f>
        <v>64.665064835974135</v>
      </c>
      <c r="AV66" s="149">
        <f>IF(AV$4=0,$P66,IF(AV$4&lt;4,$U66*(1+$C$137)^AV$4,IF(AV$4&gt;3,$Y66*(1+$C$137)^AV$4)))</f>
        <v>66.281691456873475</v>
      </c>
      <c r="AW66" s="149">
        <f>IF(AW$4=0,$P66,IF(AW$4&lt;4,$U66*(1+$C$137)^AW$4,IF(AW$4&gt;3,$Y66*(1+$C$137)^AW$4)))</f>
        <v>67.938733743295316</v>
      </c>
      <c r="AX66" s="149">
        <f>IF(AX$4=0,$P66,IF(AX$4&lt;4,$U66*(1+$C$137)^AX$4,IF(AX$4&gt;3,$Y66*(1+$C$137)^AX$4)))</f>
        <v>69.637202086877707</v>
      </c>
      <c r="AY66" s="149">
        <f>IF(AY$4=0,$P66,IF(AY$4&lt;4,$U66*(1+$C$137)^AY$4,IF(AY$4&gt;3,$Y66*(1+$C$137)^AY$4)))</f>
        <v>71.37813213904964</v>
      </c>
      <c r="AZ66" s="149">
        <f>IF(AZ$4=0,$P66,IF(AZ$4&lt;4,$U66*(1+$C$137)^AZ$4,IF(AZ$4&gt;3,$Y66*(1+$C$137)^AZ$4)))</f>
        <v>73.162585442525867</v>
      </c>
      <c r="BA66" s="149">
        <f>IF(BA$4=0,$P66,IF(BA$4&lt;4,$U66*(1+$C$137)^BA$4,IF(BA$4&gt;3,$Y66*(1+$C$137)^BA$4)))</f>
        <v>74.991650078589018</v>
      </c>
      <c r="BB66" s="149">
        <f>IF(BB$4=0,$P66,IF(BB$4&lt;4,$U66*(1+$C$137)^BB$4,IF(BB$4&gt;3,$Y66*(1+$C$137)^BB$4)))</f>
        <v>76.866441330553741</v>
      </c>
      <c r="BC66" s="149">
        <f>IF(BC$4=0,$P66,IF(BC$4&lt;4,$U66*(1+$C$137)^BC$4,IF(BC$4&gt;3,$Y66*(1+$C$137)^BC$4)))</f>
        <v>78.788102363817572</v>
      </c>
      <c r="BD66" s="149">
        <f>IF(BD$4=0,$P66,IF(BD$4&lt;4,$U66*(1+$C$137)^BD$4,IF(BD$4&gt;3,$Y66*(1+$C$137)^BD$4)))</f>
        <v>80.75780492291301</v>
      </c>
      <c r="BE66" s="149">
        <f>IF(BE$4=0,$P66,IF(BE$4&lt;4,$U66*(1+$C$137)^BE$4,IF(BE$4&gt;3,$Y66*(1+$C$137)^BE$4)))</f>
        <v>82.776750045985821</v>
      </c>
      <c r="BF66" s="149">
        <f>IF(BF$4=0,$P66,IF(BF$4&lt;4,$U66*(1+$C$137)^BF$4,IF(BF$4&gt;3,$Y66*(1+$C$137)^BF$4)))</f>
        <v>84.846168797135462</v>
      </c>
      <c r="BG66" s="149">
        <f>IF(BG$4=0,$P66,IF(BG$4&lt;4,$U66*(1+$C$137)^BG$4,IF(BG$4&gt;3,$Y66*(1+$C$137)^BG$4)))</f>
        <v>86.967323017063848</v>
      </c>
      <c r="BH66" s="149">
        <f>IF(BH$4=0,$P66,IF(BH$4&lt;4,$U66*(1+$C$137)^BH$4,IF(BH$4&gt;3,$Y66*(1+$C$137)^BH$4)))</f>
        <v>89.141506092490445</v>
      </c>
      <c r="BI66" s="149">
        <f>IF(BI$4=0,$P66,IF(BI$4&lt;4,$U66*(1+$C$137)^BI$4,IF(BI$4&gt;3,$Y66*(1+$C$137)^BI$4)))</f>
        <v>91.370043744802686</v>
      </c>
      <c r="BJ66" s="149">
        <f>IF(BJ$4=0,$P66,IF(BJ$4&lt;4,$U66*(1+$C$137)^BJ$4,IF(BJ$4&gt;3,$Y66*(1+$C$137)^BJ$4)))</f>
        <v>93.654294838422786</v>
      </c>
      <c r="BK66" s="149">
        <f>IF(BK$4=0,$P66,IF(BK$4&lt;4,$U66*(1+$C$137)^BK$4,IF(BK$4&gt;3,$Y66*(1+$C$137)^BK$4)))</f>
        <v>95.995652209383337</v>
      </c>
      <c r="BL66" s="149">
        <f>IF(BL$4=0,$P66,IF(BL$4&lt;4,$U66*(1+$C$137)^BL$4,IF(BL$4&gt;3,$Y66*(1+$C$137)^BL$4)))</f>
        <v>98.395543514617913</v>
      </c>
      <c r="BM66" s="149">
        <f>IF(BM$4=0,$P66,IF(BM$4&lt;4,$U66*(1+$C$137)^BM$4,IF(BM$4&gt;3,$Y66*(1+$C$137)^BM$4)))</f>
        <v>100.85543210248336</v>
      </c>
      <c r="BN66" s="149">
        <f>IF(BN$4=0,$P66,IF(BN$4&lt;4,$U66*(1+$C$137)^BN$4,IF(BN$4&gt;3,$Y66*(1+$C$137)^BN$4)))</f>
        <v>103.37681790504543</v>
      </c>
      <c r="BO66" s="149">
        <f>IF(BO$4=0,$P66,IF(BO$4&lt;4,$U66*(1+$C$137)^BO$4,IF(BO$4&gt;3,$Y66*(1+$C$137)^BO$4)))</f>
        <v>105.96123835267157</v>
      </c>
      <c r="BP66" s="149">
        <f>IF(BP$4=0,$P66,IF(BP$4&lt;4,$U66*(1+$C$137)^BP$4,IF(BP$4&gt;3,$Y66*(1+$C$137)^BP$4)))</f>
        <v>108.61026931148835</v>
      </c>
      <c r="BQ66" s="149">
        <f>IF(BQ$4=0,$P66,IF(BQ$4&lt;4,$U66*(1+$C$137)^BQ$4,IF(BQ$4&gt;3,$Y66*(1+$C$137)^BQ$4)))</f>
        <v>111.32552604427553</v>
      </c>
      <c r="BR66" s="149">
        <f>IF(BR$4=0,$P66,IF(BR$4&lt;4,$U66*(1+$C$137)^BR$4,IF(BR$4&gt;3,$Y66*(1+$C$137)^BR$4)))</f>
        <v>114.10866419538243</v>
      </c>
      <c r="BS66" s="149">
        <f>IF(BS$4=0,$P66,IF(BS$4&lt;4,$U66*(1+$C$137)^BS$4,IF(BS$4&gt;3,$Y66*(1+$C$137)^BS$4)))</f>
        <v>116.96138080026698</v>
      </c>
      <c r="BT66" s="1"/>
      <c r="BU66" s="14"/>
      <c r="BV66" s="93" t="str">
        <f t="shared" si="31"/>
        <v>Hedgerows</v>
      </c>
      <c r="BW66" s="14"/>
      <c r="BX66" s="93"/>
      <c r="BY66" s="14"/>
    </row>
    <row r="67" spans="1:77" ht="32" x14ac:dyDescent="0.15">
      <c r="A67" s="14"/>
      <c r="B67" s="1070"/>
      <c r="C67" s="1098" t="s">
        <v>87</v>
      </c>
      <c r="D67" s="514" t="s">
        <v>132</v>
      </c>
      <c r="E67" s="515"/>
      <c r="F67" s="505">
        <v>0</v>
      </c>
      <c r="G67" s="459"/>
      <c r="H67" s="460">
        <v>0</v>
      </c>
      <c r="I67" s="119"/>
      <c r="J67" s="91"/>
      <c r="K67" s="971">
        <v>70</v>
      </c>
      <c r="L67" s="462">
        <f t="shared" si="21"/>
        <v>0</v>
      </c>
      <c r="M67" s="118"/>
      <c r="N67" s="972">
        <v>25</v>
      </c>
      <c r="O67" s="462">
        <f t="shared" si="22"/>
        <v>0</v>
      </c>
      <c r="P67" s="106">
        <f t="shared" si="23"/>
        <v>0</v>
      </c>
      <c r="Q67" s="117" t="s">
        <v>71</v>
      </c>
      <c r="R67" s="116" t="s">
        <v>91</v>
      </c>
      <c r="S67" s="449">
        <v>1</v>
      </c>
      <c r="T67" s="491">
        <f t="shared" ref="T67:T68" si="33">O67*0.1</f>
        <v>0</v>
      </c>
      <c r="U67" s="451">
        <f t="shared" si="26"/>
        <v>0</v>
      </c>
      <c r="V67" s="452" t="s">
        <v>84</v>
      </c>
      <c r="W67" s="453"/>
      <c r="X67" s="454"/>
      <c r="Y67" s="494">
        <f t="shared" si="32"/>
        <v>0</v>
      </c>
      <c r="Z67" s="1"/>
      <c r="AA67" s="88">
        <f>NPV($C$136,AF67:BS67)+AE67</f>
        <v>0</v>
      </c>
      <c r="AB67" s="74"/>
      <c r="AC67" s="392"/>
      <c r="AD67" s="392"/>
      <c r="AE67" s="149">
        <f>IF(AE$4=0,$P67,IF(AE$4&lt;4,$U67*(1+$C$137)^AE$4,IF(AE$4&gt;3,$Y67*(1+$C$137)^AE$4)))</f>
        <v>0</v>
      </c>
      <c r="AF67" s="149">
        <f>IF(AF$4=0,$P67,IF(AF$4&lt;4,$U67*(1+$C$137)^AF$4,IF(AF$4&gt;3,$Y67*(1+$C$137)^AF$4)))</f>
        <v>0</v>
      </c>
      <c r="AG67" s="149">
        <f>IF(AG$4=0,$P67,IF(AG$4&lt;4,$U67*(1+$C$137)^AG$4,IF(AG$4&gt;3,$Y67*(1+$C$137)^AG$4)))</f>
        <v>0</v>
      </c>
      <c r="AH67" s="149">
        <f>IF(AH$4=0,$P67,IF(AH$4&lt;4,$U67*(1+$C$137)^AH$4,IF(AH$4&gt;3,$Y67*(1+$C$137)^AH$4)))</f>
        <v>0</v>
      </c>
      <c r="AI67" s="149">
        <f>IF(AI$4=0,$P67,IF(AI$4&lt;4,$U67*(1+$C$137)^AI$4,IF(AI$4&gt;3,$Y67*(1+$C$137)^AI$4)))</f>
        <v>0</v>
      </c>
      <c r="AJ67" s="149">
        <f>IF(AJ$4=0,$P67,IF(AJ$4&lt;4,$U67*(1+$C$137)^AJ$4,IF(AJ$4&gt;3,$Y67*(1+$C$137)^AJ$4)))</f>
        <v>0</v>
      </c>
      <c r="AK67" s="149">
        <f>IF(AK$4=0,$P67,IF(AK$4&lt;4,$U67*(1+$C$137)^AK$4,IF(AK$4&gt;3,$Y67*(1+$C$137)^AK$4)))</f>
        <v>0</v>
      </c>
      <c r="AL67" s="149">
        <f>IF(AL$4=0,$P67,IF(AL$4&lt;4,$U67*(1+$C$137)^AL$4,IF(AL$4&gt;3,$Y67*(1+$C$137)^AL$4)))</f>
        <v>0</v>
      </c>
      <c r="AM67" s="149">
        <f>IF(AM$4=0,$P67,IF(AM$4&lt;4,$U67*(1+$C$137)^AM$4,IF(AM$4&gt;3,$Y67*(1+$C$137)^AM$4)))</f>
        <v>0</v>
      </c>
      <c r="AN67" s="149">
        <f>IF(AN$4=0,$P67,IF(AN$4&lt;4,$U67*(1+$C$137)^AN$4,IF(AN$4&gt;3,$Y67*(1+$C$137)^AN$4)))</f>
        <v>0</v>
      </c>
      <c r="AO67" s="149">
        <f>IF(AO$4=0,$P67,IF(AO$4&lt;4,$U67*(1+$C$137)^AO$4,IF(AO$4&gt;3,$Y67*(1+$C$137)^AO$4)))</f>
        <v>0</v>
      </c>
      <c r="AP67" s="149">
        <f>IF(AP$4=0,$P67,IF(AP$4&lt;4,$U67*(1+$C$137)^AP$4,IF(AP$4&gt;3,$Y67*(1+$C$137)^AP$4)))</f>
        <v>0</v>
      </c>
      <c r="AQ67" s="149">
        <f>IF(AQ$4=0,$P67,IF(AQ$4&lt;4,$U67*(1+$C$137)^AQ$4,IF(AQ$4&gt;3,$Y67*(1+$C$137)^AQ$4)))</f>
        <v>0</v>
      </c>
      <c r="AR67" s="149">
        <f>IF(AR$4=0,$P67,IF(AR$4&lt;4,$U67*(1+$C$137)^AR$4,IF(AR$4&gt;3,$Y67*(1+$C$137)^AR$4)))</f>
        <v>0</v>
      </c>
      <c r="AS67" s="149">
        <f>IF(AS$4=0,$P67,IF(AS$4&lt;4,$U67*(1+$C$137)^AS$4,IF(AS$4&gt;3,$Y67*(1+$C$137)^AS$4)))</f>
        <v>0</v>
      </c>
      <c r="AT67" s="149">
        <f>IF(AT$4=0,$P67,IF(AT$4&lt;4,$U67*(1+$C$137)^AT$4,IF(AT$4&gt;3,$Y67*(1+$C$137)^AT$4)))</f>
        <v>0</v>
      </c>
      <c r="AU67" s="149">
        <f>IF(AU$4=0,$P67,IF(AU$4&lt;4,$U67*(1+$C$137)^AU$4,IF(AU$4&gt;3,$Y67*(1+$C$137)^AU$4)))</f>
        <v>0</v>
      </c>
      <c r="AV67" s="149">
        <f>IF(AV$4=0,$P67,IF(AV$4&lt;4,$U67*(1+$C$137)^AV$4,IF(AV$4&gt;3,$Y67*(1+$C$137)^AV$4)))</f>
        <v>0</v>
      </c>
      <c r="AW67" s="149">
        <f>IF(AW$4=0,$P67,IF(AW$4&lt;4,$U67*(1+$C$137)^AW$4,IF(AW$4&gt;3,$Y67*(1+$C$137)^AW$4)))</f>
        <v>0</v>
      </c>
      <c r="AX67" s="149">
        <f>IF(AX$4=0,$P67,IF(AX$4&lt;4,$U67*(1+$C$137)^AX$4,IF(AX$4&gt;3,$Y67*(1+$C$137)^AX$4)))</f>
        <v>0</v>
      </c>
      <c r="AY67" s="149">
        <f>IF(AY$4=0,$P67,IF(AY$4&lt;4,$U67*(1+$C$137)^AY$4,IF(AY$4&gt;3,$Y67*(1+$C$137)^AY$4)))</f>
        <v>0</v>
      </c>
      <c r="AZ67" s="149">
        <f>IF(AZ$4=0,$P67,IF(AZ$4&lt;4,$U67*(1+$C$137)^AZ$4,IF(AZ$4&gt;3,$Y67*(1+$C$137)^AZ$4)))</f>
        <v>0</v>
      </c>
      <c r="BA67" s="149">
        <f>IF(BA$4=0,$P67,IF(BA$4&lt;4,$U67*(1+$C$137)^BA$4,IF(BA$4&gt;3,$Y67*(1+$C$137)^BA$4)))</f>
        <v>0</v>
      </c>
      <c r="BB67" s="149">
        <f>IF(BB$4=0,$P67,IF(BB$4&lt;4,$U67*(1+$C$137)^BB$4,IF(BB$4&gt;3,$Y67*(1+$C$137)^BB$4)))</f>
        <v>0</v>
      </c>
      <c r="BC67" s="149">
        <f>IF(BC$4=0,$P67,IF(BC$4&lt;4,$U67*(1+$C$137)^BC$4,IF(BC$4&gt;3,$Y67*(1+$C$137)^BC$4)))</f>
        <v>0</v>
      </c>
      <c r="BD67" s="149">
        <f>IF(BD$4=0,$P67,IF(BD$4&lt;4,$U67*(1+$C$137)^BD$4,IF(BD$4&gt;3,$Y67*(1+$C$137)^BD$4)))</f>
        <v>0</v>
      </c>
      <c r="BE67" s="149">
        <f>IF(BE$4=0,$P67,IF(BE$4&lt;4,$U67*(1+$C$137)^BE$4,IF(BE$4&gt;3,$Y67*(1+$C$137)^BE$4)))</f>
        <v>0</v>
      </c>
      <c r="BF67" s="149">
        <f>IF(BF$4=0,$P67,IF(BF$4&lt;4,$U67*(1+$C$137)^BF$4,IF(BF$4&gt;3,$Y67*(1+$C$137)^BF$4)))</f>
        <v>0</v>
      </c>
      <c r="BG67" s="149">
        <f>IF(BG$4=0,$P67,IF(BG$4&lt;4,$U67*(1+$C$137)^BG$4,IF(BG$4&gt;3,$Y67*(1+$C$137)^BG$4)))</f>
        <v>0</v>
      </c>
      <c r="BH67" s="149">
        <f>IF(BH$4=0,$P67,IF(BH$4&lt;4,$U67*(1+$C$137)^BH$4,IF(BH$4&gt;3,$Y67*(1+$C$137)^BH$4)))</f>
        <v>0</v>
      </c>
      <c r="BI67" s="149">
        <f>IF(BI$4=0,$P67,IF(BI$4&lt;4,$U67*(1+$C$137)^BI$4,IF(BI$4&gt;3,$Y67*(1+$C$137)^BI$4)))</f>
        <v>0</v>
      </c>
      <c r="BJ67" s="149">
        <f>IF(BJ$4=0,$P67,IF(BJ$4&lt;4,$U67*(1+$C$137)^BJ$4,IF(BJ$4&gt;3,$Y67*(1+$C$137)^BJ$4)))</f>
        <v>0</v>
      </c>
      <c r="BK67" s="149">
        <f>IF(BK$4=0,$P67,IF(BK$4&lt;4,$U67*(1+$C$137)^BK$4,IF(BK$4&gt;3,$Y67*(1+$C$137)^BK$4)))</f>
        <v>0</v>
      </c>
      <c r="BL67" s="149">
        <f>IF(BL$4=0,$P67,IF(BL$4&lt;4,$U67*(1+$C$137)^BL$4,IF(BL$4&gt;3,$Y67*(1+$C$137)^BL$4)))</f>
        <v>0</v>
      </c>
      <c r="BM67" s="149">
        <f>IF(BM$4=0,$P67,IF(BM$4&lt;4,$U67*(1+$C$137)^BM$4,IF(BM$4&gt;3,$Y67*(1+$C$137)^BM$4)))</f>
        <v>0</v>
      </c>
      <c r="BN67" s="149">
        <f>IF(BN$4=0,$P67,IF(BN$4&lt;4,$U67*(1+$C$137)^BN$4,IF(BN$4&gt;3,$Y67*(1+$C$137)^BN$4)))</f>
        <v>0</v>
      </c>
      <c r="BO67" s="149">
        <f>IF(BO$4=0,$P67,IF(BO$4&lt;4,$U67*(1+$C$137)^BO$4,IF(BO$4&gt;3,$Y67*(1+$C$137)^BO$4)))</f>
        <v>0</v>
      </c>
      <c r="BP67" s="149">
        <f>IF(BP$4=0,$P67,IF(BP$4&lt;4,$U67*(1+$C$137)^BP$4,IF(BP$4&gt;3,$Y67*(1+$C$137)^BP$4)))</f>
        <v>0</v>
      </c>
      <c r="BQ67" s="149">
        <f>IF(BQ$4=0,$P67,IF(BQ$4&lt;4,$U67*(1+$C$137)^BQ$4,IF(BQ$4&gt;3,$Y67*(1+$C$137)^BQ$4)))</f>
        <v>0</v>
      </c>
      <c r="BR67" s="149">
        <f>IF(BR$4=0,$P67,IF(BR$4&lt;4,$U67*(1+$C$137)^BR$4,IF(BR$4&gt;3,$Y67*(1+$C$137)^BR$4)))</f>
        <v>0</v>
      </c>
      <c r="BS67" s="149">
        <f>IF(BS$4=0,$P67,IF(BS$4&lt;4,$U67*(1+$C$137)^BS$4,IF(BS$4&gt;3,$Y67*(1+$C$137)^BS$4)))</f>
        <v>0</v>
      </c>
      <c r="BT67" s="1"/>
      <c r="BU67" s="14"/>
      <c r="BV67" s="23" t="str">
        <f>C67</f>
        <v>Trees</v>
      </c>
      <c r="BW67" s="14"/>
      <c r="BX67" s="93"/>
      <c r="BY67" s="14"/>
    </row>
    <row r="68" spans="1:77" ht="64" x14ac:dyDescent="0.15">
      <c r="A68" s="14"/>
      <c r="B68" s="1071"/>
      <c r="C68" s="1099"/>
      <c r="D68" s="975" t="s">
        <v>133</v>
      </c>
      <c r="E68" s="976" t="s">
        <v>88</v>
      </c>
      <c r="F68" s="495"/>
      <c r="G68" s="977">
        <v>1.5</v>
      </c>
      <c r="H68" s="446">
        <v>60</v>
      </c>
      <c r="I68" s="978" t="s">
        <v>89</v>
      </c>
      <c r="J68" s="129" t="s">
        <v>90</v>
      </c>
      <c r="K68" s="524">
        <v>70</v>
      </c>
      <c r="L68" s="979">
        <f t="shared" si="21"/>
        <v>4200</v>
      </c>
      <c r="M68" s="130"/>
      <c r="N68" s="525">
        <v>25</v>
      </c>
      <c r="O68" s="979">
        <f t="shared" si="22"/>
        <v>1500</v>
      </c>
      <c r="P68" s="131">
        <f t="shared" si="23"/>
        <v>5700</v>
      </c>
      <c r="Q68" s="128" t="s">
        <v>71</v>
      </c>
      <c r="R68" s="127" t="s">
        <v>91</v>
      </c>
      <c r="S68" s="501">
        <v>1</v>
      </c>
      <c r="T68" s="980">
        <f t="shared" si="33"/>
        <v>150</v>
      </c>
      <c r="U68" s="132">
        <f>S68*T68*G68</f>
        <v>225</v>
      </c>
      <c r="V68" s="978" t="s">
        <v>84</v>
      </c>
      <c r="W68" s="981"/>
      <c r="X68" s="982"/>
      <c r="Y68" s="133">
        <f t="shared" ref="Y68:Y69" si="34">(F68+G68+H68)*W68*X68</f>
        <v>0</v>
      </c>
      <c r="Z68" s="1"/>
      <c r="AA68" s="88">
        <f>NPV($C$136,AF68:BS68)+AE68</f>
        <v>6319.7994044902916</v>
      </c>
      <c r="AB68" s="74"/>
      <c r="AC68" s="392"/>
      <c r="AD68" s="392"/>
      <c r="AE68" s="149">
        <f>IF(AE$4=0,$P68,IF(AE$4&lt;4,$U68*(1+$C$137)^AE$4,IF(AE$4&gt;3,$Y68*(1+$C$137)^AE$4)))</f>
        <v>5700</v>
      </c>
      <c r="AF68" s="149">
        <f>IF(AF$4=0,$P68,IF(AF$4&lt;4,$U68*(1+$C$137)^AF$4,IF(AF$4&gt;3,$Y68*(1+$C$137)^AF$4)))</f>
        <v>230.62499999999997</v>
      </c>
      <c r="AG68" s="149">
        <f>IF(AG$4=0,$P68,IF(AG$4&lt;4,$U68*(1+$C$137)^AG$4,IF(AG$4&gt;3,$Y68*(1+$C$137)^AG$4)))</f>
        <v>236.39062499999997</v>
      </c>
      <c r="AH68" s="149">
        <f>IF(AH$4=0,$P68,IF(AH$4&lt;4,$U68*(1+$C$137)^AH$4,IF(AH$4&gt;3,$Y68*(1+$C$137)^AH$4)))</f>
        <v>242.30039062499998</v>
      </c>
      <c r="AI68" s="149">
        <f>IF(AI$4=0,$P68,IF(AI$4&lt;4,$U68*(1+$C$137)^AI$4,IF(AI$4&gt;3,$Y68*(1+$C$137)^AI$4)))</f>
        <v>0</v>
      </c>
      <c r="AJ68" s="149">
        <f>IF(AJ$4=0,$P68,IF(AJ$4&lt;4,$U68*(1+$C$137)^AJ$4,IF(AJ$4&gt;3,$Y68*(1+$C$137)^AJ$4)))</f>
        <v>0</v>
      </c>
      <c r="AK68" s="149">
        <f>IF(AK$4=0,$P68,IF(AK$4&lt;4,$U68*(1+$C$137)^AK$4,IF(AK$4&gt;3,$Y68*(1+$C$137)^AK$4)))</f>
        <v>0</v>
      </c>
      <c r="AL68" s="149">
        <f>IF(AL$4=0,$P68,IF(AL$4&lt;4,$U68*(1+$C$137)^AL$4,IF(AL$4&gt;3,$Y68*(1+$C$137)^AL$4)))</f>
        <v>0</v>
      </c>
      <c r="AM68" s="149">
        <f>IF(AM$4=0,$P68,IF(AM$4&lt;4,$U68*(1+$C$137)^AM$4,IF(AM$4&gt;3,$Y68*(1+$C$137)^AM$4)))</f>
        <v>0</v>
      </c>
      <c r="AN68" s="149">
        <f>IF(AN$4=0,$P68,IF(AN$4&lt;4,$U68*(1+$C$137)^AN$4,IF(AN$4&gt;3,$Y68*(1+$C$137)^AN$4)))</f>
        <v>0</v>
      </c>
      <c r="AO68" s="149">
        <f>IF(AO$4=0,$P68,IF(AO$4&lt;4,$U68*(1+$C$137)^AO$4,IF(AO$4&gt;3,$Y68*(1+$C$137)^AO$4)))</f>
        <v>0</v>
      </c>
      <c r="AP68" s="149">
        <f>IF(AP$4=0,$P68,IF(AP$4&lt;4,$U68*(1+$C$137)^AP$4,IF(AP$4&gt;3,$Y68*(1+$C$137)^AP$4)))</f>
        <v>0</v>
      </c>
      <c r="AQ68" s="149">
        <f>IF(AQ$4=0,$P68,IF(AQ$4&lt;4,$U68*(1+$C$137)^AQ$4,IF(AQ$4&gt;3,$Y68*(1+$C$137)^AQ$4)))</f>
        <v>0</v>
      </c>
      <c r="AR68" s="149">
        <f>IF(AR$4=0,$P68,IF(AR$4&lt;4,$U68*(1+$C$137)^AR$4,IF(AR$4&gt;3,$Y68*(1+$C$137)^AR$4)))</f>
        <v>0</v>
      </c>
      <c r="AS68" s="149">
        <f>IF(AS$4=0,$P68,IF(AS$4&lt;4,$U68*(1+$C$137)^AS$4,IF(AS$4&gt;3,$Y68*(1+$C$137)^AS$4)))</f>
        <v>0</v>
      </c>
      <c r="AT68" s="149">
        <f>IF(AT$4=0,$P68,IF(AT$4&lt;4,$U68*(1+$C$137)^AT$4,IF(AT$4&gt;3,$Y68*(1+$C$137)^AT$4)))</f>
        <v>0</v>
      </c>
      <c r="AU68" s="149">
        <f>IF(AU$4=0,$P68,IF(AU$4&lt;4,$U68*(1+$C$137)^AU$4,IF(AU$4&gt;3,$Y68*(1+$C$137)^AU$4)))</f>
        <v>0</v>
      </c>
      <c r="AV68" s="149">
        <f>IF(AV$4=0,$P68,IF(AV$4&lt;4,$U68*(1+$C$137)^AV$4,IF(AV$4&gt;3,$Y68*(1+$C$137)^AV$4)))</f>
        <v>0</v>
      </c>
      <c r="AW68" s="149">
        <f>IF(AW$4=0,$P68,IF(AW$4&lt;4,$U68*(1+$C$137)^AW$4,IF(AW$4&gt;3,$Y68*(1+$C$137)^AW$4)))</f>
        <v>0</v>
      </c>
      <c r="AX68" s="149">
        <f>IF(AX$4=0,$P68,IF(AX$4&lt;4,$U68*(1+$C$137)^AX$4,IF(AX$4&gt;3,$Y68*(1+$C$137)^AX$4)))</f>
        <v>0</v>
      </c>
      <c r="AY68" s="149">
        <f>IF(AY$4=0,$P68,IF(AY$4&lt;4,$U68*(1+$C$137)^AY$4,IF(AY$4&gt;3,$Y68*(1+$C$137)^AY$4)))</f>
        <v>0</v>
      </c>
      <c r="AZ68" s="149">
        <f>IF(AZ$4=0,$P68,IF(AZ$4&lt;4,$U68*(1+$C$137)^AZ$4,IF(AZ$4&gt;3,$Y68*(1+$C$137)^AZ$4)))</f>
        <v>0</v>
      </c>
      <c r="BA68" s="149">
        <f>IF(BA$4=0,$P68,IF(BA$4&lt;4,$U68*(1+$C$137)^BA$4,IF(BA$4&gt;3,$Y68*(1+$C$137)^BA$4)))</f>
        <v>0</v>
      </c>
      <c r="BB68" s="149">
        <f>IF(BB$4=0,$P68,IF(BB$4&lt;4,$U68*(1+$C$137)^BB$4,IF(BB$4&gt;3,$Y68*(1+$C$137)^BB$4)))</f>
        <v>0</v>
      </c>
      <c r="BC68" s="149">
        <f>IF(BC$4=0,$P68,IF(BC$4&lt;4,$U68*(1+$C$137)^BC$4,IF(BC$4&gt;3,$Y68*(1+$C$137)^BC$4)))</f>
        <v>0</v>
      </c>
      <c r="BD68" s="149">
        <f>IF(BD$4=0,$P68,IF(BD$4&lt;4,$U68*(1+$C$137)^BD$4,IF(BD$4&gt;3,$Y68*(1+$C$137)^BD$4)))</f>
        <v>0</v>
      </c>
      <c r="BE68" s="149">
        <f>IF(BE$4=0,$P68,IF(BE$4&lt;4,$U68*(1+$C$137)^BE$4,IF(BE$4&gt;3,$Y68*(1+$C$137)^BE$4)))</f>
        <v>0</v>
      </c>
      <c r="BF68" s="149">
        <f>IF(BF$4=0,$P68,IF(BF$4&lt;4,$U68*(1+$C$137)^BF$4,IF(BF$4&gt;3,$Y68*(1+$C$137)^BF$4)))</f>
        <v>0</v>
      </c>
      <c r="BG68" s="149">
        <f>IF(BG$4=0,$P68,IF(BG$4&lt;4,$U68*(1+$C$137)^BG$4,IF(BG$4&gt;3,$Y68*(1+$C$137)^BG$4)))</f>
        <v>0</v>
      </c>
      <c r="BH68" s="149">
        <f>IF(BH$4=0,$P68,IF(BH$4&lt;4,$U68*(1+$C$137)^BH$4,IF(BH$4&gt;3,$Y68*(1+$C$137)^BH$4)))</f>
        <v>0</v>
      </c>
      <c r="BI68" s="149">
        <f>IF(BI$4=0,$P68,IF(BI$4&lt;4,$U68*(1+$C$137)^BI$4,IF(BI$4&gt;3,$Y68*(1+$C$137)^BI$4)))</f>
        <v>0</v>
      </c>
      <c r="BJ68" s="149">
        <f>IF(BJ$4=0,$P68,IF(BJ$4&lt;4,$U68*(1+$C$137)^BJ$4,IF(BJ$4&gt;3,$Y68*(1+$C$137)^BJ$4)))</f>
        <v>0</v>
      </c>
      <c r="BK68" s="149">
        <f>IF(BK$4=0,$P68,IF(BK$4&lt;4,$U68*(1+$C$137)^BK$4,IF(BK$4&gt;3,$Y68*(1+$C$137)^BK$4)))</f>
        <v>0</v>
      </c>
      <c r="BL68" s="149">
        <f>IF(BL$4=0,$P68,IF(BL$4&lt;4,$U68*(1+$C$137)^BL$4,IF(BL$4&gt;3,$Y68*(1+$C$137)^BL$4)))</f>
        <v>0</v>
      </c>
      <c r="BM68" s="149">
        <f>IF(BM$4=0,$P68,IF(BM$4&lt;4,$U68*(1+$C$137)^BM$4,IF(BM$4&gt;3,$Y68*(1+$C$137)^BM$4)))</f>
        <v>0</v>
      </c>
      <c r="BN68" s="149">
        <f>IF(BN$4=0,$P68,IF(BN$4&lt;4,$U68*(1+$C$137)^BN$4,IF(BN$4&gt;3,$Y68*(1+$C$137)^BN$4)))</f>
        <v>0</v>
      </c>
      <c r="BO68" s="149">
        <f>IF(BO$4=0,$P68,IF(BO$4&lt;4,$U68*(1+$C$137)^BO$4,IF(BO$4&gt;3,$Y68*(1+$C$137)^BO$4)))</f>
        <v>0</v>
      </c>
      <c r="BP68" s="149">
        <f>IF(BP$4=0,$P68,IF(BP$4&lt;4,$U68*(1+$C$137)^BP$4,IF(BP$4&gt;3,$Y68*(1+$C$137)^BP$4)))</f>
        <v>0</v>
      </c>
      <c r="BQ68" s="149">
        <f>IF(BQ$4=0,$P68,IF(BQ$4&lt;4,$U68*(1+$C$137)^BQ$4,IF(BQ$4&gt;3,$Y68*(1+$C$137)^BQ$4)))</f>
        <v>0</v>
      </c>
      <c r="BR68" s="149">
        <f>IF(BR$4=0,$P68,IF(BR$4&lt;4,$U68*(1+$C$137)^BR$4,IF(BR$4&gt;3,$Y68*(1+$C$137)^BR$4)))</f>
        <v>0</v>
      </c>
      <c r="BS68" s="149">
        <f>IF(BS$4=0,$P68,IF(BS$4&lt;4,$U68*(1+$C$137)^BS$4,IF(BS$4&gt;3,$Y68*(1+$C$137)^BS$4)))</f>
        <v>0</v>
      </c>
      <c r="BT68" s="1"/>
      <c r="BU68" s="14"/>
      <c r="BV68" s="23" t="str">
        <f>C67</f>
        <v>Trees</v>
      </c>
      <c r="BW68" s="14"/>
      <c r="BX68" s="93"/>
      <c r="BY68" s="14"/>
    </row>
    <row r="69" spans="1:77" ht="32" x14ac:dyDescent="0.15">
      <c r="A69" s="14"/>
      <c r="B69" s="983" t="s">
        <v>36</v>
      </c>
      <c r="C69" s="984" t="s">
        <v>92</v>
      </c>
      <c r="D69" s="228" t="s">
        <v>93</v>
      </c>
      <c r="E69" s="985"/>
      <c r="F69" s="986"/>
      <c r="G69" s="987"/>
      <c r="H69" s="988"/>
      <c r="I69" s="989"/>
      <c r="J69" s="990"/>
      <c r="K69" s="991"/>
      <c r="L69" s="992">
        <f t="shared" si="21"/>
        <v>0</v>
      </c>
      <c r="M69" s="993"/>
      <c r="N69" s="994"/>
      <c r="O69" s="992">
        <f t="shared" si="22"/>
        <v>0</v>
      </c>
      <c r="P69" s="995">
        <f t="shared" si="23"/>
        <v>0</v>
      </c>
      <c r="Q69" s="996" t="s">
        <v>117</v>
      </c>
      <c r="R69" s="997" t="s">
        <v>117</v>
      </c>
      <c r="S69" s="998" t="s">
        <v>117</v>
      </c>
      <c r="T69" s="999" t="s">
        <v>117</v>
      </c>
      <c r="U69" s="235">
        <f>IFERROR(S69*T69,0)</f>
        <v>0</v>
      </c>
      <c r="V69" s="989"/>
      <c r="W69" s="1000"/>
      <c r="X69" s="1001"/>
      <c r="Y69" s="1002">
        <f t="shared" si="34"/>
        <v>0</v>
      </c>
      <c r="Z69" s="1"/>
      <c r="AA69" s="88">
        <f>NPV($C$136,AF69:BS69)+AE69</f>
        <v>0</v>
      </c>
      <c r="AB69" s="74"/>
      <c r="AC69" s="392"/>
      <c r="AD69" s="392"/>
      <c r="AE69" s="149">
        <f>IF(AE$4=0,$P69,IF(AE$4&lt;4,$U69*(1+$C$137)^AE$4,IF(AE$4&gt;3,$Y69*(1+$C$137)^AE$4)))</f>
        <v>0</v>
      </c>
      <c r="AF69" s="149">
        <f>IF(AF$4=0,$P69,IF(AF$4&lt;4,$U69*(1+$C$137)^AF$4,IF(AF$4&gt;3,$Y69*(1+$C$137)^AF$4)))</f>
        <v>0</v>
      </c>
      <c r="AG69" s="149">
        <f>IF(AG$4=0,$P69,IF(AG$4&lt;4,$U69*(1+$C$137)^AG$4,IF(AG$4&gt;3,$Y69*(1+$C$137)^AG$4)))</f>
        <v>0</v>
      </c>
      <c r="AH69" s="149">
        <f>IF(AH$4=0,$P69,IF(AH$4&lt;4,$U69*(1+$C$137)^AH$4,IF(AH$4&gt;3,$Y69*(1+$C$137)^AH$4)))</f>
        <v>0</v>
      </c>
      <c r="AI69" s="149">
        <f>IF(AI$4=0,$P69,IF(AI$4&lt;4,$U69*(1+$C$137)^AI$4,IF(AI$4&gt;3,$Y69*(1+$C$137)^AI$4)))</f>
        <v>0</v>
      </c>
      <c r="AJ69" s="149">
        <f>IF(AJ$4=0,$P69,IF(AJ$4&lt;4,$U69*(1+$C$137)^AJ$4,IF(AJ$4&gt;3,$Y69*(1+$C$137)^AJ$4)))</f>
        <v>0</v>
      </c>
      <c r="AK69" s="149">
        <f>IF(AK$4=0,$P69,IF(AK$4&lt;4,$U69*(1+$C$137)^AK$4,IF(AK$4&gt;3,$Y69*(1+$C$137)^AK$4)))</f>
        <v>0</v>
      </c>
      <c r="AL69" s="149">
        <f>IF(AL$4=0,$P69,IF(AL$4&lt;4,$U69*(1+$C$137)^AL$4,IF(AL$4&gt;3,$Y69*(1+$C$137)^AL$4)))</f>
        <v>0</v>
      </c>
      <c r="AM69" s="149">
        <f>IF(AM$4=0,$P69,IF(AM$4&lt;4,$U69*(1+$C$137)^AM$4,IF(AM$4&gt;3,$Y69*(1+$C$137)^AM$4)))</f>
        <v>0</v>
      </c>
      <c r="AN69" s="149">
        <f>IF(AN$4=0,$P69,IF(AN$4&lt;4,$U69*(1+$C$137)^AN$4,IF(AN$4&gt;3,$Y69*(1+$C$137)^AN$4)))</f>
        <v>0</v>
      </c>
      <c r="AO69" s="149">
        <f>IF(AO$4=0,$P69,IF(AO$4&lt;4,$U69*(1+$C$137)^AO$4,IF(AO$4&gt;3,$Y69*(1+$C$137)^AO$4)))</f>
        <v>0</v>
      </c>
      <c r="AP69" s="149">
        <f>IF(AP$4=0,$P69,IF(AP$4&lt;4,$U69*(1+$C$137)^AP$4,IF(AP$4&gt;3,$Y69*(1+$C$137)^AP$4)))</f>
        <v>0</v>
      </c>
      <c r="AQ69" s="149">
        <f>IF(AQ$4=0,$P69,IF(AQ$4&lt;4,$U69*(1+$C$137)^AQ$4,IF(AQ$4&gt;3,$Y69*(1+$C$137)^AQ$4)))</f>
        <v>0</v>
      </c>
      <c r="AR69" s="149">
        <f>IF(AR$4=0,$P69,IF(AR$4&lt;4,$U69*(1+$C$137)^AR$4,IF(AR$4&gt;3,$Y69*(1+$C$137)^AR$4)))</f>
        <v>0</v>
      </c>
      <c r="AS69" s="149">
        <f>IF(AS$4=0,$P69,IF(AS$4&lt;4,$U69*(1+$C$137)^AS$4,IF(AS$4&gt;3,$Y69*(1+$C$137)^AS$4)))</f>
        <v>0</v>
      </c>
      <c r="AT69" s="149">
        <f>IF(AT$4=0,$P69,IF(AT$4&lt;4,$U69*(1+$C$137)^AT$4,IF(AT$4&gt;3,$Y69*(1+$C$137)^AT$4)))</f>
        <v>0</v>
      </c>
      <c r="AU69" s="149">
        <f>IF(AU$4=0,$P69,IF(AU$4&lt;4,$U69*(1+$C$137)^AU$4,IF(AU$4&gt;3,$Y69*(1+$C$137)^AU$4)))</f>
        <v>0</v>
      </c>
      <c r="AV69" s="149">
        <f>IF(AV$4=0,$P69,IF(AV$4&lt;4,$U69*(1+$C$137)^AV$4,IF(AV$4&gt;3,$Y69*(1+$C$137)^AV$4)))</f>
        <v>0</v>
      </c>
      <c r="AW69" s="149">
        <f>IF(AW$4=0,$P69,IF(AW$4&lt;4,$U69*(1+$C$137)^AW$4,IF(AW$4&gt;3,$Y69*(1+$C$137)^AW$4)))</f>
        <v>0</v>
      </c>
      <c r="AX69" s="149">
        <f>IF(AX$4=0,$P69,IF(AX$4&lt;4,$U69*(1+$C$137)^AX$4,IF(AX$4&gt;3,$Y69*(1+$C$137)^AX$4)))</f>
        <v>0</v>
      </c>
      <c r="AY69" s="149">
        <f>IF(AY$4=0,$P69,IF(AY$4&lt;4,$U69*(1+$C$137)^AY$4,IF(AY$4&gt;3,$Y69*(1+$C$137)^AY$4)))</f>
        <v>0</v>
      </c>
      <c r="AZ69" s="149">
        <f>IF(AZ$4=0,$P69,IF(AZ$4&lt;4,$U69*(1+$C$137)^AZ$4,IF(AZ$4&gt;3,$Y69*(1+$C$137)^AZ$4)))</f>
        <v>0</v>
      </c>
      <c r="BA69" s="149">
        <f>IF(BA$4=0,$P69,IF(BA$4&lt;4,$U69*(1+$C$137)^BA$4,IF(BA$4&gt;3,$Y69*(1+$C$137)^BA$4)))</f>
        <v>0</v>
      </c>
      <c r="BB69" s="149">
        <f>IF(BB$4=0,$P69,IF(BB$4&lt;4,$U69*(1+$C$137)^BB$4,IF(BB$4&gt;3,$Y69*(1+$C$137)^BB$4)))</f>
        <v>0</v>
      </c>
      <c r="BC69" s="149">
        <f>IF(BC$4=0,$P69,IF(BC$4&lt;4,$U69*(1+$C$137)^BC$4,IF(BC$4&gt;3,$Y69*(1+$C$137)^BC$4)))</f>
        <v>0</v>
      </c>
      <c r="BD69" s="149">
        <f>IF(BD$4=0,$P69,IF(BD$4&lt;4,$U69*(1+$C$137)^BD$4,IF(BD$4&gt;3,$Y69*(1+$C$137)^BD$4)))</f>
        <v>0</v>
      </c>
      <c r="BE69" s="149">
        <f>IF(BE$4=0,$P69,IF(BE$4&lt;4,$U69*(1+$C$137)^BE$4,IF(BE$4&gt;3,$Y69*(1+$C$137)^BE$4)))</f>
        <v>0</v>
      </c>
      <c r="BF69" s="149">
        <f>IF(BF$4=0,$P69,IF(BF$4&lt;4,$U69*(1+$C$137)^BF$4,IF(BF$4&gt;3,$Y69*(1+$C$137)^BF$4)))</f>
        <v>0</v>
      </c>
      <c r="BG69" s="149">
        <f>IF(BG$4=0,$P69,IF(BG$4&lt;4,$U69*(1+$C$137)^BG$4,IF(BG$4&gt;3,$Y69*(1+$C$137)^BG$4)))</f>
        <v>0</v>
      </c>
      <c r="BH69" s="149">
        <f>IF(BH$4=0,$P69,IF(BH$4&lt;4,$U69*(1+$C$137)^BH$4,IF(BH$4&gt;3,$Y69*(1+$C$137)^BH$4)))</f>
        <v>0</v>
      </c>
      <c r="BI69" s="149">
        <f>IF(BI$4=0,$P69,IF(BI$4&lt;4,$U69*(1+$C$137)^BI$4,IF(BI$4&gt;3,$Y69*(1+$C$137)^BI$4)))</f>
        <v>0</v>
      </c>
      <c r="BJ69" s="149">
        <f>IF(BJ$4=0,$P69,IF(BJ$4&lt;4,$U69*(1+$C$137)^BJ$4,IF(BJ$4&gt;3,$Y69*(1+$C$137)^BJ$4)))</f>
        <v>0</v>
      </c>
      <c r="BK69" s="149">
        <f>IF(BK$4=0,$P69,IF(BK$4&lt;4,$U69*(1+$C$137)^BK$4,IF(BK$4&gt;3,$Y69*(1+$C$137)^BK$4)))</f>
        <v>0</v>
      </c>
      <c r="BL69" s="149">
        <f>IF(BL$4=0,$P69,IF(BL$4&lt;4,$U69*(1+$C$137)^BL$4,IF(BL$4&gt;3,$Y69*(1+$C$137)^BL$4)))</f>
        <v>0</v>
      </c>
      <c r="BM69" s="149">
        <f>IF(BM$4=0,$P69,IF(BM$4&lt;4,$U69*(1+$C$137)^BM$4,IF(BM$4&gt;3,$Y69*(1+$C$137)^BM$4)))</f>
        <v>0</v>
      </c>
      <c r="BN69" s="149">
        <f>IF(BN$4=0,$P69,IF(BN$4&lt;4,$U69*(1+$C$137)^BN$4,IF(BN$4&gt;3,$Y69*(1+$C$137)^BN$4)))</f>
        <v>0</v>
      </c>
      <c r="BO69" s="149">
        <f>IF(BO$4=0,$P69,IF(BO$4&lt;4,$U69*(1+$C$137)^BO$4,IF(BO$4&gt;3,$Y69*(1+$C$137)^BO$4)))</f>
        <v>0</v>
      </c>
      <c r="BP69" s="149">
        <f>IF(BP$4=0,$P69,IF(BP$4&lt;4,$U69*(1+$C$137)^BP$4,IF(BP$4&gt;3,$Y69*(1+$C$137)^BP$4)))</f>
        <v>0</v>
      </c>
      <c r="BQ69" s="149">
        <f>IF(BQ$4=0,$P69,IF(BQ$4&lt;4,$U69*(1+$C$137)^BQ$4,IF(BQ$4&gt;3,$Y69*(1+$C$137)^BQ$4)))</f>
        <v>0</v>
      </c>
      <c r="BR69" s="149">
        <f>IF(BR$4=0,$P69,IF(BR$4&lt;4,$U69*(1+$C$137)^BR$4,IF(BR$4&gt;3,$Y69*(1+$C$137)^BR$4)))</f>
        <v>0</v>
      </c>
      <c r="BS69" s="149">
        <f>IF(BS$4=0,$P69,IF(BS$4&lt;4,$U69*(1+$C$137)^BS$4,IF(BS$4&gt;3,$Y69*(1+$C$137)^BS$4)))</f>
        <v>0</v>
      </c>
      <c r="BT69" s="1"/>
      <c r="BU69" s="14"/>
      <c r="BV69" s="93" t="str">
        <f t="shared" ref="BV69:BV70" si="35">C69</f>
        <v>Decompact compacted areas</v>
      </c>
      <c r="BW69" s="14"/>
      <c r="BX69" s="93"/>
      <c r="BY69" s="14"/>
    </row>
    <row r="70" spans="1:77" ht="96" x14ac:dyDescent="0.15">
      <c r="A70" s="14"/>
      <c r="B70" s="1097" t="s">
        <v>38</v>
      </c>
      <c r="C70" s="1098" t="s">
        <v>94</v>
      </c>
      <c r="D70" s="65" t="s">
        <v>112</v>
      </c>
      <c r="E70" s="66" t="s">
        <v>175</v>
      </c>
      <c r="F70" s="523">
        <f>50/10000</f>
        <v>5.0000000000000001E-3</v>
      </c>
      <c r="G70" s="445"/>
      <c r="H70" s="446">
        <v>2</v>
      </c>
      <c r="I70" s="76"/>
      <c r="J70" s="114"/>
      <c r="K70" s="524">
        <v>2000</v>
      </c>
      <c r="L70" s="164">
        <f t="shared" si="21"/>
        <v>4000</v>
      </c>
      <c r="M70" s="124"/>
      <c r="N70" s="525">
        <v>2000</v>
      </c>
      <c r="O70" s="164">
        <f t="shared" si="22"/>
        <v>4000</v>
      </c>
      <c r="P70" s="102">
        <f t="shared" si="23"/>
        <v>8000</v>
      </c>
      <c r="Q70" s="14" t="s">
        <v>95</v>
      </c>
      <c r="R70" s="103" t="s">
        <v>96</v>
      </c>
      <c r="S70" s="501">
        <v>1</v>
      </c>
      <c r="T70" s="526">
        <v>450</v>
      </c>
      <c r="U70" s="104">
        <f t="shared" ref="U70:U72" si="36">S70*T70</f>
        <v>450</v>
      </c>
      <c r="V70" s="14" t="s">
        <v>134</v>
      </c>
      <c r="W70" s="503">
        <v>0.33</v>
      </c>
      <c r="X70" s="504">
        <v>300</v>
      </c>
      <c r="Y70" s="105">
        <f t="shared" ref="Y70:Y72" si="37">W70*X70</f>
        <v>99</v>
      </c>
      <c r="Z70" s="1"/>
      <c r="AA70" s="88">
        <f>NPV($C$136,AF70:BS70)+AE70</f>
        <v>10817.543954173179</v>
      </c>
      <c r="AB70" s="74"/>
      <c r="AC70" s="392"/>
      <c r="AD70" s="392"/>
      <c r="AE70" s="149">
        <f>IF(AE$4=0,$P70,IF(AE$4&lt;4,$U70*(1+$C$137)^AE$4,IF(AE$4&gt;3,$Y70*(1+$C$137)^AE$4)))</f>
        <v>8000</v>
      </c>
      <c r="AF70" s="149">
        <f>IF(AF$4=0,$P70,IF(AF$4&lt;4,$U70*(1+$C$137)^AF$4,IF(AF$4&gt;3,$Y70*(1+$C$137)^AF$4)))</f>
        <v>461.24999999999994</v>
      </c>
      <c r="AG70" s="149">
        <f>IF(AG$4=0,$P70,IF(AG$4&lt;4,$U70*(1+$C$137)^AG$4,IF(AG$4&gt;3,$Y70*(1+$C$137)^AG$4)))</f>
        <v>472.78124999999994</v>
      </c>
      <c r="AH70" s="149">
        <f>IF(AH$4=0,$P70,IF(AH$4&lt;4,$U70*(1+$C$137)^AH$4,IF(AH$4&gt;3,$Y70*(1+$C$137)^AH$4)))</f>
        <v>484.60078124999995</v>
      </c>
      <c r="AI70" s="149">
        <f>IF(AI$4=0,$P70,IF(AI$4&lt;4,$U70*(1+$C$137)^AI$4,IF(AI$4&gt;3,$Y70*(1+$C$137)^AI$4)))</f>
        <v>109.27747617187498</v>
      </c>
      <c r="AJ70" s="149">
        <f>IF(AJ$4=0,$P70,IF(AJ$4&lt;4,$U70*(1+$C$137)^AJ$4,IF(AJ$4&gt;3,$Y70*(1+$C$137)^AJ$4)))</f>
        <v>112.00941307617184</v>
      </c>
      <c r="AK70" s="149">
        <f>IF(AK$4=0,$P70,IF(AK$4&lt;4,$U70*(1+$C$137)^AK$4,IF(AK$4&gt;3,$Y70*(1+$C$137)^AK$4)))</f>
        <v>114.80964840307612</v>
      </c>
      <c r="AL70" s="149">
        <f>IF(AL$4=0,$P70,IF(AL$4&lt;4,$U70*(1+$C$137)^AL$4,IF(AL$4&gt;3,$Y70*(1+$C$137)^AL$4)))</f>
        <v>117.67988961315304</v>
      </c>
      <c r="AM70" s="149">
        <f>IF(AM$4=0,$P70,IF(AM$4&lt;4,$U70*(1+$C$137)^AM$4,IF(AM$4&gt;3,$Y70*(1+$C$137)^AM$4)))</f>
        <v>120.62188685348185</v>
      </c>
      <c r="AN70" s="149">
        <f>IF(AN$4=0,$P70,IF(AN$4&lt;4,$U70*(1+$C$137)^AN$4,IF(AN$4&gt;3,$Y70*(1+$C$137)^AN$4)))</f>
        <v>123.63743402481887</v>
      </c>
      <c r="AO70" s="149">
        <f>IF(AO$4=0,$P70,IF(AO$4&lt;4,$U70*(1+$C$137)^AO$4,IF(AO$4&gt;3,$Y70*(1+$C$137)^AO$4)))</f>
        <v>126.72836987543936</v>
      </c>
      <c r="AP70" s="149">
        <f>IF(AP$4=0,$P70,IF(AP$4&lt;4,$U70*(1+$C$137)^AP$4,IF(AP$4&gt;3,$Y70*(1+$C$137)^AP$4)))</f>
        <v>129.89657912232533</v>
      </c>
      <c r="AQ70" s="149">
        <f>IF(AQ$4=0,$P70,IF(AQ$4&lt;4,$U70*(1+$C$137)^AQ$4,IF(AQ$4&gt;3,$Y70*(1+$C$137)^AQ$4)))</f>
        <v>133.14399360038345</v>
      </c>
      <c r="AR70" s="149">
        <f>IF(AR$4=0,$P70,IF(AR$4&lt;4,$U70*(1+$C$137)^AR$4,IF(AR$4&gt;3,$Y70*(1+$C$137)^AR$4)))</f>
        <v>136.47259344039304</v>
      </c>
      <c r="AS70" s="149">
        <f>IF(AS$4=0,$P70,IF(AS$4&lt;4,$U70*(1+$C$137)^AS$4,IF(AS$4&gt;3,$Y70*(1+$C$137)^AS$4)))</f>
        <v>139.88440827640284</v>
      </c>
      <c r="AT70" s="149">
        <f>IF(AT$4=0,$P70,IF(AT$4&lt;4,$U70*(1+$C$137)^AT$4,IF(AT$4&gt;3,$Y70*(1+$C$137)^AT$4)))</f>
        <v>143.38151848331293</v>
      </c>
      <c r="AU70" s="149">
        <f>IF(AU$4=0,$P70,IF(AU$4&lt;4,$U70*(1+$C$137)^AU$4,IF(AU$4&gt;3,$Y70*(1+$C$137)^AU$4)))</f>
        <v>146.96605644539574</v>
      </c>
      <c r="AV70" s="149">
        <f>IF(AV$4=0,$P70,IF(AV$4&lt;4,$U70*(1+$C$137)^AV$4,IF(AV$4&gt;3,$Y70*(1+$C$137)^AV$4)))</f>
        <v>150.64020785653062</v>
      </c>
      <c r="AW70" s="149">
        <f>IF(AW$4=0,$P70,IF(AW$4&lt;4,$U70*(1+$C$137)^AW$4,IF(AW$4&gt;3,$Y70*(1+$C$137)^AW$4)))</f>
        <v>154.40621305294388</v>
      </c>
      <c r="AX70" s="149">
        <f>IF(AX$4=0,$P70,IF(AX$4&lt;4,$U70*(1+$C$137)^AX$4,IF(AX$4&gt;3,$Y70*(1+$C$137)^AX$4)))</f>
        <v>158.2663683792675</v>
      </c>
      <c r="AY70" s="149">
        <f>IF(AY$4=0,$P70,IF(AY$4&lt;4,$U70*(1+$C$137)^AY$4,IF(AY$4&gt;3,$Y70*(1+$C$137)^AY$4)))</f>
        <v>162.22302758874915</v>
      </c>
      <c r="AZ70" s="149">
        <f>IF(AZ$4=0,$P70,IF(AZ$4&lt;4,$U70*(1+$C$137)^AZ$4,IF(AZ$4&gt;3,$Y70*(1+$C$137)^AZ$4)))</f>
        <v>166.27860327846787</v>
      </c>
      <c r="BA70" s="149">
        <f>IF(BA$4=0,$P70,IF(BA$4&lt;4,$U70*(1+$C$137)^BA$4,IF(BA$4&gt;3,$Y70*(1+$C$137)^BA$4)))</f>
        <v>170.43556836042956</v>
      </c>
      <c r="BB70" s="149">
        <f>IF(BB$4=0,$P70,IF(BB$4&lt;4,$U70*(1+$C$137)^BB$4,IF(BB$4&gt;3,$Y70*(1+$C$137)^BB$4)))</f>
        <v>174.6964575694403</v>
      </c>
      <c r="BC70" s="149">
        <f>IF(BC$4=0,$P70,IF(BC$4&lt;4,$U70*(1+$C$137)^BC$4,IF(BC$4&gt;3,$Y70*(1+$C$137)^BC$4)))</f>
        <v>179.06386900867631</v>
      </c>
      <c r="BD70" s="149">
        <f>IF(BD$4=0,$P70,IF(BD$4&lt;4,$U70*(1+$C$137)^BD$4,IF(BD$4&gt;3,$Y70*(1+$C$137)^BD$4)))</f>
        <v>183.54046573389317</v>
      </c>
      <c r="BE70" s="149">
        <f>IF(BE$4=0,$P70,IF(BE$4&lt;4,$U70*(1+$C$137)^BE$4,IF(BE$4&gt;3,$Y70*(1+$C$137)^BE$4)))</f>
        <v>188.12897737724049</v>
      </c>
      <c r="BF70" s="149">
        <f>IF(BF$4=0,$P70,IF(BF$4&lt;4,$U70*(1+$C$137)^BF$4,IF(BF$4&gt;3,$Y70*(1+$C$137)^BF$4)))</f>
        <v>192.8322018116715</v>
      </c>
      <c r="BG70" s="149">
        <f>IF(BG$4=0,$P70,IF(BG$4&lt;4,$U70*(1+$C$137)^BG$4,IF(BG$4&gt;3,$Y70*(1+$C$137)^BG$4)))</f>
        <v>197.65300685696329</v>
      </c>
      <c r="BH70" s="149">
        <f>IF(BH$4=0,$P70,IF(BH$4&lt;4,$U70*(1+$C$137)^BH$4,IF(BH$4&gt;3,$Y70*(1+$C$137)^BH$4)))</f>
        <v>202.59433202838738</v>
      </c>
      <c r="BI70" s="149">
        <f>IF(BI$4=0,$P70,IF(BI$4&lt;4,$U70*(1+$C$137)^BI$4,IF(BI$4&gt;3,$Y70*(1+$C$137)^BI$4)))</f>
        <v>207.65919032909702</v>
      </c>
      <c r="BJ70" s="149">
        <f>IF(BJ$4=0,$P70,IF(BJ$4&lt;4,$U70*(1+$C$137)^BJ$4,IF(BJ$4&gt;3,$Y70*(1+$C$137)^BJ$4)))</f>
        <v>212.85067008732449</v>
      </c>
      <c r="BK70" s="149">
        <f>IF(BK$4=0,$P70,IF(BK$4&lt;4,$U70*(1+$C$137)^BK$4,IF(BK$4&gt;3,$Y70*(1+$C$137)^BK$4)))</f>
        <v>218.17193683950757</v>
      </c>
      <c r="BL70" s="149">
        <f>IF(BL$4=0,$P70,IF(BL$4&lt;4,$U70*(1+$C$137)^BL$4,IF(BL$4&gt;3,$Y70*(1+$C$137)^BL$4)))</f>
        <v>223.62623526049524</v>
      </c>
      <c r="BM70" s="149">
        <f>IF(BM$4=0,$P70,IF(BM$4&lt;4,$U70*(1+$C$137)^BM$4,IF(BM$4&gt;3,$Y70*(1+$C$137)^BM$4)))</f>
        <v>229.21689114200763</v>
      </c>
      <c r="BN70" s="149">
        <f>IF(BN$4=0,$P70,IF(BN$4&lt;4,$U70*(1+$C$137)^BN$4,IF(BN$4&gt;3,$Y70*(1+$C$137)^BN$4)))</f>
        <v>234.94731342055778</v>
      </c>
      <c r="BO70" s="149">
        <f>IF(BO$4=0,$P70,IF(BO$4&lt;4,$U70*(1+$C$137)^BO$4,IF(BO$4&gt;3,$Y70*(1+$C$137)^BO$4)))</f>
        <v>240.82099625607174</v>
      </c>
      <c r="BP70" s="149">
        <f>IF(BP$4=0,$P70,IF(BP$4&lt;4,$U70*(1+$C$137)^BP$4,IF(BP$4&gt;3,$Y70*(1+$C$137)^BP$4)))</f>
        <v>246.8415211624735</v>
      </c>
      <c r="BQ70" s="149">
        <f>IF(BQ$4=0,$P70,IF(BQ$4&lt;4,$U70*(1+$C$137)^BQ$4,IF(BQ$4&gt;3,$Y70*(1+$C$137)^BQ$4)))</f>
        <v>253.01255919153527</v>
      </c>
      <c r="BR70" s="149">
        <f>IF(BR$4=0,$P70,IF(BR$4&lt;4,$U70*(1+$C$137)^BR$4,IF(BR$4&gt;3,$Y70*(1+$C$137)^BR$4)))</f>
        <v>259.33787317132368</v>
      </c>
      <c r="BS70" s="149">
        <f>IF(BS$4=0,$P70,IF(BS$4&lt;4,$U70*(1+$C$137)^BS$4,IF(BS$4&gt;3,$Y70*(1+$C$137)^BS$4)))</f>
        <v>265.82132000060676</v>
      </c>
      <c r="BT70" s="1"/>
      <c r="BU70" s="14"/>
      <c r="BV70" s="93" t="str">
        <f t="shared" si="35"/>
        <v>Ponds</v>
      </c>
      <c r="BW70" s="14"/>
      <c r="BX70" s="93"/>
      <c r="BY70" s="14"/>
    </row>
    <row r="71" spans="1:77" ht="48" x14ac:dyDescent="0.15">
      <c r="A71" s="14"/>
      <c r="B71" s="1070"/>
      <c r="C71" s="1056"/>
      <c r="D71" s="527" t="s">
        <v>97</v>
      </c>
      <c r="E71" s="528" t="s">
        <v>176</v>
      </c>
      <c r="F71" s="529">
        <v>0.01</v>
      </c>
      <c r="G71" s="530"/>
      <c r="H71" s="531">
        <v>2</v>
      </c>
      <c r="I71" s="532"/>
      <c r="J71" s="137"/>
      <c r="K71" s="533">
        <v>2000</v>
      </c>
      <c r="L71" s="534">
        <f t="shared" si="21"/>
        <v>4000</v>
      </c>
      <c r="M71" s="138"/>
      <c r="N71" s="535">
        <v>2000</v>
      </c>
      <c r="O71" s="534">
        <f t="shared" si="22"/>
        <v>4000</v>
      </c>
      <c r="P71" s="139">
        <f t="shared" si="23"/>
        <v>8000</v>
      </c>
      <c r="Q71" s="140" t="s">
        <v>95</v>
      </c>
      <c r="R71" s="136" t="s">
        <v>96</v>
      </c>
      <c r="S71" s="536">
        <v>1</v>
      </c>
      <c r="T71" s="537">
        <v>450</v>
      </c>
      <c r="U71" s="141">
        <f t="shared" si="36"/>
        <v>450</v>
      </c>
      <c r="V71" s="140" t="s">
        <v>134</v>
      </c>
      <c r="W71" s="538">
        <v>0.33</v>
      </c>
      <c r="X71" s="539">
        <v>300</v>
      </c>
      <c r="Y71" s="142">
        <f t="shared" si="37"/>
        <v>99</v>
      </c>
      <c r="Z71" s="1"/>
      <c r="AA71" s="88">
        <f>NPV($C$136,AF71:BS71)+AE71</f>
        <v>10817.543954173179</v>
      </c>
      <c r="AB71" s="74"/>
      <c r="AC71" s="392"/>
      <c r="AD71" s="392"/>
      <c r="AE71" s="149">
        <f>IF(AE$4=0,$P71,IF(AE$4&lt;4,$U71*(1+$C$137)^AE$4,IF(AE$4&gt;3,$Y71*(1+$C$137)^AE$4)))</f>
        <v>8000</v>
      </c>
      <c r="AF71" s="149">
        <f>IF(AF$4=0,$P71,IF(AF$4&lt;4,$U71*(1+$C$137)^AF$4,IF(AF$4&gt;3,$Y71*(1+$C$137)^AF$4)))</f>
        <v>461.24999999999994</v>
      </c>
      <c r="AG71" s="149">
        <f>IF(AG$4=0,$P71,IF(AG$4&lt;4,$U71*(1+$C$137)^AG$4,IF(AG$4&gt;3,$Y71*(1+$C$137)^AG$4)))</f>
        <v>472.78124999999994</v>
      </c>
      <c r="AH71" s="149">
        <f>IF(AH$4=0,$P71,IF(AH$4&lt;4,$U71*(1+$C$137)^AH$4,IF(AH$4&gt;3,$Y71*(1+$C$137)^AH$4)))</f>
        <v>484.60078124999995</v>
      </c>
      <c r="AI71" s="149">
        <f>IF(AI$4=0,$P71,IF(AI$4&lt;4,$U71*(1+$C$137)^AI$4,IF(AI$4&gt;3,$Y71*(1+$C$137)^AI$4)))</f>
        <v>109.27747617187498</v>
      </c>
      <c r="AJ71" s="149">
        <f>IF(AJ$4=0,$P71,IF(AJ$4&lt;4,$U71*(1+$C$137)^AJ$4,IF(AJ$4&gt;3,$Y71*(1+$C$137)^AJ$4)))</f>
        <v>112.00941307617184</v>
      </c>
      <c r="AK71" s="149">
        <f>IF(AK$4=0,$P71,IF(AK$4&lt;4,$U71*(1+$C$137)^AK$4,IF(AK$4&gt;3,$Y71*(1+$C$137)^AK$4)))</f>
        <v>114.80964840307612</v>
      </c>
      <c r="AL71" s="149">
        <f>IF(AL$4=0,$P71,IF(AL$4&lt;4,$U71*(1+$C$137)^AL$4,IF(AL$4&gt;3,$Y71*(1+$C$137)^AL$4)))</f>
        <v>117.67988961315304</v>
      </c>
      <c r="AM71" s="149">
        <f>IF(AM$4=0,$P71,IF(AM$4&lt;4,$U71*(1+$C$137)^AM$4,IF(AM$4&gt;3,$Y71*(1+$C$137)^AM$4)))</f>
        <v>120.62188685348185</v>
      </c>
      <c r="AN71" s="149">
        <f>IF(AN$4=0,$P71,IF(AN$4&lt;4,$U71*(1+$C$137)^AN$4,IF(AN$4&gt;3,$Y71*(1+$C$137)^AN$4)))</f>
        <v>123.63743402481887</v>
      </c>
      <c r="AO71" s="149">
        <f>IF(AO$4=0,$P71,IF(AO$4&lt;4,$U71*(1+$C$137)^AO$4,IF(AO$4&gt;3,$Y71*(1+$C$137)^AO$4)))</f>
        <v>126.72836987543936</v>
      </c>
      <c r="AP71" s="149">
        <f>IF(AP$4=0,$P71,IF(AP$4&lt;4,$U71*(1+$C$137)^AP$4,IF(AP$4&gt;3,$Y71*(1+$C$137)^AP$4)))</f>
        <v>129.89657912232533</v>
      </c>
      <c r="AQ71" s="149">
        <f>IF(AQ$4=0,$P71,IF(AQ$4&lt;4,$U71*(1+$C$137)^AQ$4,IF(AQ$4&gt;3,$Y71*(1+$C$137)^AQ$4)))</f>
        <v>133.14399360038345</v>
      </c>
      <c r="AR71" s="149">
        <f>IF(AR$4=0,$P71,IF(AR$4&lt;4,$U71*(1+$C$137)^AR$4,IF(AR$4&gt;3,$Y71*(1+$C$137)^AR$4)))</f>
        <v>136.47259344039304</v>
      </c>
      <c r="AS71" s="149">
        <f>IF(AS$4=0,$P71,IF(AS$4&lt;4,$U71*(1+$C$137)^AS$4,IF(AS$4&gt;3,$Y71*(1+$C$137)^AS$4)))</f>
        <v>139.88440827640284</v>
      </c>
      <c r="AT71" s="149">
        <f>IF(AT$4=0,$P71,IF(AT$4&lt;4,$U71*(1+$C$137)^AT$4,IF(AT$4&gt;3,$Y71*(1+$C$137)^AT$4)))</f>
        <v>143.38151848331293</v>
      </c>
      <c r="AU71" s="149">
        <f>IF(AU$4=0,$P71,IF(AU$4&lt;4,$U71*(1+$C$137)^AU$4,IF(AU$4&gt;3,$Y71*(1+$C$137)^AU$4)))</f>
        <v>146.96605644539574</v>
      </c>
      <c r="AV71" s="149">
        <f>IF(AV$4=0,$P71,IF(AV$4&lt;4,$U71*(1+$C$137)^AV$4,IF(AV$4&gt;3,$Y71*(1+$C$137)^AV$4)))</f>
        <v>150.64020785653062</v>
      </c>
      <c r="AW71" s="149">
        <f>IF(AW$4=0,$P71,IF(AW$4&lt;4,$U71*(1+$C$137)^AW$4,IF(AW$4&gt;3,$Y71*(1+$C$137)^AW$4)))</f>
        <v>154.40621305294388</v>
      </c>
      <c r="AX71" s="149">
        <f>IF(AX$4=0,$P71,IF(AX$4&lt;4,$U71*(1+$C$137)^AX$4,IF(AX$4&gt;3,$Y71*(1+$C$137)^AX$4)))</f>
        <v>158.2663683792675</v>
      </c>
      <c r="AY71" s="149">
        <f>IF(AY$4=0,$P71,IF(AY$4&lt;4,$U71*(1+$C$137)^AY$4,IF(AY$4&gt;3,$Y71*(1+$C$137)^AY$4)))</f>
        <v>162.22302758874915</v>
      </c>
      <c r="AZ71" s="149">
        <f>IF(AZ$4=0,$P71,IF(AZ$4&lt;4,$U71*(1+$C$137)^AZ$4,IF(AZ$4&gt;3,$Y71*(1+$C$137)^AZ$4)))</f>
        <v>166.27860327846787</v>
      </c>
      <c r="BA71" s="149">
        <f>IF(BA$4=0,$P71,IF(BA$4&lt;4,$U71*(1+$C$137)^BA$4,IF(BA$4&gt;3,$Y71*(1+$C$137)^BA$4)))</f>
        <v>170.43556836042956</v>
      </c>
      <c r="BB71" s="149">
        <f>IF(BB$4=0,$P71,IF(BB$4&lt;4,$U71*(1+$C$137)^BB$4,IF(BB$4&gt;3,$Y71*(1+$C$137)^BB$4)))</f>
        <v>174.6964575694403</v>
      </c>
      <c r="BC71" s="149">
        <f>IF(BC$4=0,$P71,IF(BC$4&lt;4,$U71*(1+$C$137)^BC$4,IF(BC$4&gt;3,$Y71*(1+$C$137)^BC$4)))</f>
        <v>179.06386900867631</v>
      </c>
      <c r="BD71" s="149">
        <f>IF(BD$4=0,$P71,IF(BD$4&lt;4,$U71*(1+$C$137)^BD$4,IF(BD$4&gt;3,$Y71*(1+$C$137)^BD$4)))</f>
        <v>183.54046573389317</v>
      </c>
      <c r="BE71" s="149">
        <f>IF(BE$4=0,$P71,IF(BE$4&lt;4,$U71*(1+$C$137)^BE$4,IF(BE$4&gt;3,$Y71*(1+$C$137)^BE$4)))</f>
        <v>188.12897737724049</v>
      </c>
      <c r="BF71" s="149">
        <f>IF(BF$4=0,$P71,IF(BF$4&lt;4,$U71*(1+$C$137)^BF$4,IF(BF$4&gt;3,$Y71*(1+$C$137)^BF$4)))</f>
        <v>192.8322018116715</v>
      </c>
      <c r="BG71" s="149">
        <f>IF(BG$4=0,$P71,IF(BG$4&lt;4,$U71*(1+$C$137)^BG$4,IF(BG$4&gt;3,$Y71*(1+$C$137)^BG$4)))</f>
        <v>197.65300685696329</v>
      </c>
      <c r="BH71" s="149">
        <f>IF(BH$4=0,$P71,IF(BH$4&lt;4,$U71*(1+$C$137)^BH$4,IF(BH$4&gt;3,$Y71*(1+$C$137)^BH$4)))</f>
        <v>202.59433202838738</v>
      </c>
      <c r="BI71" s="149">
        <f>IF(BI$4=0,$P71,IF(BI$4&lt;4,$U71*(1+$C$137)^BI$4,IF(BI$4&gt;3,$Y71*(1+$C$137)^BI$4)))</f>
        <v>207.65919032909702</v>
      </c>
      <c r="BJ71" s="149">
        <f>IF(BJ$4=0,$P71,IF(BJ$4&lt;4,$U71*(1+$C$137)^BJ$4,IF(BJ$4&gt;3,$Y71*(1+$C$137)^BJ$4)))</f>
        <v>212.85067008732449</v>
      </c>
      <c r="BK71" s="149">
        <f>IF(BK$4=0,$P71,IF(BK$4&lt;4,$U71*(1+$C$137)^BK$4,IF(BK$4&gt;3,$Y71*(1+$C$137)^BK$4)))</f>
        <v>218.17193683950757</v>
      </c>
      <c r="BL71" s="149">
        <f>IF(BL$4=0,$P71,IF(BL$4&lt;4,$U71*(1+$C$137)^BL$4,IF(BL$4&gt;3,$Y71*(1+$C$137)^BL$4)))</f>
        <v>223.62623526049524</v>
      </c>
      <c r="BM71" s="149">
        <f>IF(BM$4=0,$P71,IF(BM$4&lt;4,$U71*(1+$C$137)^BM$4,IF(BM$4&gt;3,$Y71*(1+$C$137)^BM$4)))</f>
        <v>229.21689114200763</v>
      </c>
      <c r="BN71" s="149">
        <f>IF(BN$4=0,$P71,IF(BN$4&lt;4,$U71*(1+$C$137)^BN$4,IF(BN$4&gt;3,$Y71*(1+$C$137)^BN$4)))</f>
        <v>234.94731342055778</v>
      </c>
      <c r="BO71" s="149">
        <f>IF(BO$4=0,$P71,IF(BO$4&lt;4,$U71*(1+$C$137)^BO$4,IF(BO$4&gt;3,$Y71*(1+$C$137)^BO$4)))</f>
        <v>240.82099625607174</v>
      </c>
      <c r="BP71" s="149">
        <f>IF(BP$4=0,$P71,IF(BP$4&lt;4,$U71*(1+$C$137)^BP$4,IF(BP$4&gt;3,$Y71*(1+$C$137)^BP$4)))</f>
        <v>246.8415211624735</v>
      </c>
      <c r="BQ71" s="149">
        <f>IF(BQ$4=0,$P71,IF(BQ$4&lt;4,$U71*(1+$C$137)^BQ$4,IF(BQ$4&gt;3,$Y71*(1+$C$137)^BQ$4)))</f>
        <v>253.01255919153527</v>
      </c>
      <c r="BR71" s="149">
        <f>IF(BR$4=0,$P71,IF(BR$4&lt;4,$U71*(1+$C$137)^BR$4,IF(BR$4&gt;3,$Y71*(1+$C$137)^BR$4)))</f>
        <v>259.33787317132368</v>
      </c>
      <c r="BS71" s="149">
        <f>IF(BS$4=0,$P71,IF(BS$4&lt;4,$U71*(1+$C$137)^BS$4,IF(BS$4&gt;3,$Y71*(1+$C$137)^BS$4)))</f>
        <v>265.82132000060676</v>
      </c>
      <c r="BT71" s="1"/>
      <c r="BU71" s="14"/>
      <c r="BV71" s="93" t="str">
        <f>BV70</f>
        <v>Ponds</v>
      </c>
      <c r="BW71" s="14"/>
      <c r="BX71" s="93"/>
      <c r="BY71" s="14"/>
    </row>
    <row r="72" spans="1:77" ht="48" x14ac:dyDescent="0.15">
      <c r="A72" s="14"/>
      <c r="B72" s="1070"/>
      <c r="C72" s="98" t="s">
        <v>98</v>
      </c>
      <c r="D72" s="25" t="s">
        <v>99</v>
      </c>
      <c r="E72" s="26" t="s">
        <v>100</v>
      </c>
      <c r="F72" s="540">
        <f>50/10000</f>
        <v>5.0000000000000001E-3</v>
      </c>
      <c r="G72" s="512">
        <v>0.3</v>
      </c>
      <c r="H72" s="466">
        <v>1</v>
      </c>
      <c r="I72" s="95"/>
      <c r="J72" s="123"/>
      <c r="K72" s="541" t="s">
        <v>117</v>
      </c>
      <c r="L72" s="468">
        <f t="shared" ref="L72:L73" si="38">IFERROR(IF(OR($F72&gt;0,$G72&gt;0,$H72&gt;0),MAX($F72:$H72)*K72,0),0)</f>
        <v>0</v>
      </c>
      <c r="M72" s="122"/>
      <c r="N72" s="476">
        <v>2000</v>
      </c>
      <c r="O72" s="468">
        <f t="shared" si="22"/>
        <v>2000</v>
      </c>
      <c r="P72" s="94">
        <f t="shared" si="23"/>
        <v>2000</v>
      </c>
      <c r="Q72" s="98" t="s">
        <v>95</v>
      </c>
      <c r="R72" s="100" t="s">
        <v>101</v>
      </c>
      <c r="S72" s="470">
        <v>1</v>
      </c>
      <c r="T72" s="542">
        <v>200</v>
      </c>
      <c r="U72" s="96">
        <f t="shared" si="36"/>
        <v>200</v>
      </c>
      <c r="V72" s="98" t="s">
        <v>134</v>
      </c>
      <c r="W72" s="513">
        <v>0.33</v>
      </c>
      <c r="X72" s="428">
        <v>300</v>
      </c>
      <c r="Y72" s="97">
        <f t="shared" si="37"/>
        <v>99</v>
      </c>
      <c r="Z72" s="1"/>
      <c r="AA72" s="88">
        <f>NPV($C$136,AF72:BS72)+AE72</f>
        <v>4128.8779491839668</v>
      </c>
      <c r="AB72" s="74"/>
      <c r="AC72" s="392"/>
      <c r="AD72" s="392"/>
      <c r="AE72" s="149">
        <f>IF(AE$4=0,$P72,IF(AE$4&lt;4,$U72*(1+$C$137)^AE$4,IF(AE$4&gt;3,$Y72*(1+$C$137)^AE$4)))</f>
        <v>2000</v>
      </c>
      <c r="AF72" s="149">
        <f>IF(AF$4=0,$P72,IF(AF$4&lt;4,$U72*(1+$C$137)^AF$4,IF(AF$4&gt;3,$Y72*(1+$C$137)^AF$4)))</f>
        <v>204.99999999999997</v>
      </c>
      <c r="AG72" s="149">
        <f>IF(AG$4=0,$P72,IF(AG$4&lt;4,$U72*(1+$C$137)^AG$4,IF(AG$4&gt;3,$Y72*(1+$C$137)^AG$4)))</f>
        <v>210.12499999999997</v>
      </c>
      <c r="AH72" s="149">
        <f>IF(AH$4=0,$P72,IF(AH$4&lt;4,$U72*(1+$C$137)^AH$4,IF(AH$4&gt;3,$Y72*(1+$C$137)^AH$4)))</f>
        <v>215.37812499999998</v>
      </c>
      <c r="AI72" s="149">
        <f>IF(AI$4=0,$P72,IF(AI$4&lt;4,$U72*(1+$C$137)^AI$4,IF(AI$4&gt;3,$Y72*(1+$C$137)^AI$4)))</f>
        <v>109.27747617187498</v>
      </c>
      <c r="AJ72" s="149">
        <f>IF(AJ$4=0,$P72,IF(AJ$4&lt;4,$U72*(1+$C$137)^AJ$4,IF(AJ$4&gt;3,$Y72*(1+$C$137)^AJ$4)))</f>
        <v>112.00941307617184</v>
      </c>
      <c r="AK72" s="149">
        <f>IF(AK$4=0,$P72,IF(AK$4&lt;4,$U72*(1+$C$137)^AK$4,IF(AK$4&gt;3,$Y72*(1+$C$137)^AK$4)))</f>
        <v>114.80964840307612</v>
      </c>
      <c r="AL72" s="149">
        <f>IF(AL$4=0,$P72,IF(AL$4&lt;4,$U72*(1+$C$137)^AL$4,IF(AL$4&gt;3,$Y72*(1+$C$137)^AL$4)))</f>
        <v>117.67988961315304</v>
      </c>
      <c r="AM72" s="149">
        <f>IF(AM$4=0,$P72,IF(AM$4&lt;4,$U72*(1+$C$137)^AM$4,IF(AM$4&gt;3,$Y72*(1+$C$137)^AM$4)))</f>
        <v>120.62188685348185</v>
      </c>
      <c r="AN72" s="149">
        <f>IF(AN$4=0,$P72,IF(AN$4&lt;4,$U72*(1+$C$137)^AN$4,IF(AN$4&gt;3,$Y72*(1+$C$137)^AN$4)))</f>
        <v>123.63743402481887</v>
      </c>
      <c r="AO72" s="149">
        <f>IF(AO$4=0,$P72,IF(AO$4&lt;4,$U72*(1+$C$137)^AO$4,IF(AO$4&gt;3,$Y72*(1+$C$137)^AO$4)))</f>
        <v>126.72836987543936</v>
      </c>
      <c r="AP72" s="149">
        <f>IF(AP$4=0,$P72,IF(AP$4&lt;4,$U72*(1+$C$137)^AP$4,IF(AP$4&gt;3,$Y72*(1+$C$137)^AP$4)))</f>
        <v>129.89657912232533</v>
      </c>
      <c r="AQ72" s="149">
        <f>IF(AQ$4=0,$P72,IF(AQ$4&lt;4,$U72*(1+$C$137)^AQ$4,IF(AQ$4&gt;3,$Y72*(1+$C$137)^AQ$4)))</f>
        <v>133.14399360038345</v>
      </c>
      <c r="AR72" s="149">
        <f>IF(AR$4=0,$P72,IF(AR$4&lt;4,$U72*(1+$C$137)^AR$4,IF(AR$4&gt;3,$Y72*(1+$C$137)^AR$4)))</f>
        <v>136.47259344039304</v>
      </c>
      <c r="AS72" s="149">
        <f>IF(AS$4=0,$P72,IF(AS$4&lt;4,$U72*(1+$C$137)^AS$4,IF(AS$4&gt;3,$Y72*(1+$C$137)^AS$4)))</f>
        <v>139.88440827640284</v>
      </c>
      <c r="AT72" s="149">
        <f>IF(AT$4=0,$P72,IF(AT$4&lt;4,$U72*(1+$C$137)^AT$4,IF(AT$4&gt;3,$Y72*(1+$C$137)^AT$4)))</f>
        <v>143.38151848331293</v>
      </c>
      <c r="AU72" s="149">
        <f>IF(AU$4=0,$P72,IF(AU$4&lt;4,$U72*(1+$C$137)^AU$4,IF(AU$4&gt;3,$Y72*(1+$C$137)^AU$4)))</f>
        <v>146.96605644539574</v>
      </c>
      <c r="AV72" s="149">
        <f>IF(AV$4=0,$P72,IF(AV$4&lt;4,$U72*(1+$C$137)^AV$4,IF(AV$4&gt;3,$Y72*(1+$C$137)^AV$4)))</f>
        <v>150.64020785653062</v>
      </c>
      <c r="AW72" s="149">
        <f>IF(AW$4=0,$P72,IF(AW$4&lt;4,$U72*(1+$C$137)^AW$4,IF(AW$4&gt;3,$Y72*(1+$C$137)^AW$4)))</f>
        <v>154.40621305294388</v>
      </c>
      <c r="AX72" s="149">
        <f>IF(AX$4=0,$P72,IF(AX$4&lt;4,$U72*(1+$C$137)^AX$4,IF(AX$4&gt;3,$Y72*(1+$C$137)^AX$4)))</f>
        <v>158.2663683792675</v>
      </c>
      <c r="AY72" s="149">
        <f>IF(AY$4=0,$P72,IF(AY$4&lt;4,$U72*(1+$C$137)^AY$4,IF(AY$4&gt;3,$Y72*(1+$C$137)^AY$4)))</f>
        <v>162.22302758874915</v>
      </c>
      <c r="AZ72" s="149">
        <f>IF(AZ$4=0,$P72,IF(AZ$4&lt;4,$U72*(1+$C$137)^AZ$4,IF(AZ$4&gt;3,$Y72*(1+$C$137)^AZ$4)))</f>
        <v>166.27860327846787</v>
      </c>
      <c r="BA72" s="149">
        <f>IF(BA$4=0,$P72,IF(BA$4&lt;4,$U72*(1+$C$137)^BA$4,IF(BA$4&gt;3,$Y72*(1+$C$137)^BA$4)))</f>
        <v>170.43556836042956</v>
      </c>
      <c r="BB72" s="149">
        <f>IF(BB$4=0,$P72,IF(BB$4&lt;4,$U72*(1+$C$137)^BB$4,IF(BB$4&gt;3,$Y72*(1+$C$137)^BB$4)))</f>
        <v>174.6964575694403</v>
      </c>
      <c r="BC72" s="149">
        <f>IF(BC$4=0,$P72,IF(BC$4&lt;4,$U72*(1+$C$137)^BC$4,IF(BC$4&gt;3,$Y72*(1+$C$137)^BC$4)))</f>
        <v>179.06386900867631</v>
      </c>
      <c r="BD72" s="149">
        <f>IF(BD$4=0,$P72,IF(BD$4&lt;4,$U72*(1+$C$137)^BD$4,IF(BD$4&gt;3,$Y72*(1+$C$137)^BD$4)))</f>
        <v>183.54046573389317</v>
      </c>
      <c r="BE72" s="149">
        <f>IF(BE$4=0,$P72,IF(BE$4&lt;4,$U72*(1+$C$137)^BE$4,IF(BE$4&gt;3,$Y72*(1+$C$137)^BE$4)))</f>
        <v>188.12897737724049</v>
      </c>
      <c r="BF72" s="149">
        <f>IF(BF$4=0,$P72,IF(BF$4&lt;4,$U72*(1+$C$137)^BF$4,IF(BF$4&gt;3,$Y72*(1+$C$137)^BF$4)))</f>
        <v>192.8322018116715</v>
      </c>
      <c r="BG72" s="149">
        <f>IF(BG$4=0,$P72,IF(BG$4&lt;4,$U72*(1+$C$137)^BG$4,IF(BG$4&gt;3,$Y72*(1+$C$137)^BG$4)))</f>
        <v>197.65300685696329</v>
      </c>
      <c r="BH72" s="149">
        <f>IF(BH$4=0,$P72,IF(BH$4&lt;4,$U72*(1+$C$137)^BH$4,IF(BH$4&gt;3,$Y72*(1+$C$137)^BH$4)))</f>
        <v>202.59433202838738</v>
      </c>
      <c r="BI72" s="149">
        <f>IF(BI$4=0,$P72,IF(BI$4&lt;4,$U72*(1+$C$137)^BI$4,IF(BI$4&gt;3,$Y72*(1+$C$137)^BI$4)))</f>
        <v>207.65919032909702</v>
      </c>
      <c r="BJ72" s="149">
        <f>IF(BJ$4=0,$P72,IF(BJ$4&lt;4,$U72*(1+$C$137)^BJ$4,IF(BJ$4&gt;3,$Y72*(1+$C$137)^BJ$4)))</f>
        <v>212.85067008732449</v>
      </c>
      <c r="BK72" s="149">
        <f>IF(BK$4=0,$P72,IF(BK$4&lt;4,$U72*(1+$C$137)^BK$4,IF(BK$4&gt;3,$Y72*(1+$C$137)^BK$4)))</f>
        <v>218.17193683950757</v>
      </c>
      <c r="BL72" s="149">
        <f>IF(BL$4=0,$P72,IF(BL$4&lt;4,$U72*(1+$C$137)^BL$4,IF(BL$4&gt;3,$Y72*(1+$C$137)^BL$4)))</f>
        <v>223.62623526049524</v>
      </c>
      <c r="BM72" s="149">
        <f>IF(BM$4=0,$P72,IF(BM$4&lt;4,$U72*(1+$C$137)^BM$4,IF(BM$4&gt;3,$Y72*(1+$C$137)^BM$4)))</f>
        <v>229.21689114200763</v>
      </c>
      <c r="BN72" s="149">
        <f>IF(BN$4=0,$P72,IF(BN$4&lt;4,$U72*(1+$C$137)^BN$4,IF(BN$4&gt;3,$Y72*(1+$C$137)^BN$4)))</f>
        <v>234.94731342055778</v>
      </c>
      <c r="BO72" s="149">
        <f>IF(BO$4=0,$P72,IF(BO$4&lt;4,$U72*(1+$C$137)^BO$4,IF(BO$4&gt;3,$Y72*(1+$C$137)^BO$4)))</f>
        <v>240.82099625607174</v>
      </c>
      <c r="BP72" s="149">
        <f>IF(BP$4=0,$P72,IF(BP$4&lt;4,$U72*(1+$C$137)^BP$4,IF(BP$4&gt;3,$Y72*(1+$C$137)^BP$4)))</f>
        <v>246.8415211624735</v>
      </c>
      <c r="BQ72" s="149">
        <f>IF(BQ$4=0,$P72,IF(BQ$4&lt;4,$U72*(1+$C$137)^BQ$4,IF(BQ$4&gt;3,$Y72*(1+$C$137)^BQ$4)))</f>
        <v>253.01255919153527</v>
      </c>
      <c r="BR72" s="149">
        <f>IF(BR$4=0,$P72,IF(BR$4&lt;4,$U72*(1+$C$137)^BR$4,IF(BR$4&gt;3,$Y72*(1+$C$137)^BR$4)))</f>
        <v>259.33787317132368</v>
      </c>
      <c r="BS72" s="149">
        <f>IF(BS$4=0,$P72,IF(BS$4&lt;4,$U72*(1+$C$137)^BS$4,IF(BS$4&gt;3,$Y72*(1+$C$137)^BS$4)))</f>
        <v>265.82132000060676</v>
      </c>
      <c r="BT72" s="1"/>
      <c r="BU72" s="2"/>
      <c r="BV72" s="93" t="str">
        <f t="shared" ref="BV72:BV84" si="39">C72</f>
        <v>Scrapes</v>
      </c>
      <c r="BW72" s="2"/>
      <c r="BX72" s="93"/>
      <c r="BY72" s="2"/>
    </row>
    <row r="73" spans="1:77" ht="16" x14ac:dyDescent="0.15">
      <c r="A73" s="14"/>
      <c r="B73" s="1071"/>
      <c r="C73" s="430" t="s">
        <v>135</v>
      </c>
      <c r="D73" s="431" t="s">
        <v>136</v>
      </c>
      <c r="E73" s="254"/>
      <c r="F73" s="516"/>
      <c r="G73" s="543"/>
      <c r="H73" s="435"/>
      <c r="I73" s="110"/>
      <c r="J73" s="107"/>
      <c r="K73" s="544" t="s">
        <v>117</v>
      </c>
      <c r="L73" s="108">
        <f t="shared" si="38"/>
        <v>0</v>
      </c>
      <c r="M73" s="134"/>
      <c r="N73" s="545"/>
      <c r="O73" s="108">
        <f t="shared" si="22"/>
        <v>0</v>
      </c>
      <c r="P73" s="109">
        <f t="shared" si="23"/>
        <v>0</v>
      </c>
      <c r="Q73" s="520" t="s">
        <v>117</v>
      </c>
      <c r="R73" s="521" t="s">
        <v>117</v>
      </c>
      <c r="S73" s="522" t="s">
        <v>117</v>
      </c>
      <c r="T73" s="1003" t="s">
        <v>117</v>
      </c>
      <c r="U73" s="111">
        <f>IFERROR(F73*S73*T73,0)</f>
        <v>0</v>
      </c>
      <c r="V73" s="110"/>
      <c r="W73" s="517"/>
      <c r="X73" s="518"/>
      <c r="Y73" s="112">
        <f t="shared" ref="Y73:Y75" si="40">(F73+G73+H73)*W73*X73</f>
        <v>0</v>
      </c>
      <c r="Z73" s="1"/>
      <c r="AA73" s="88">
        <f>NPV($C$136,AF73:BS73)+AE73</f>
        <v>0</v>
      </c>
      <c r="AB73" s="74"/>
      <c r="AC73" s="392"/>
      <c r="AD73" s="392"/>
      <c r="AE73" s="149">
        <f>IF(AE$4=0,$P73,IF(AE$4&lt;4,$U73*(1+$C$137)^AE$4,IF(AE$4&gt;3,$Y73*(1+$C$137)^AE$4)))</f>
        <v>0</v>
      </c>
      <c r="AF73" s="149">
        <f>IF(AF$4=0,$P73,IF(AF$4&lt;4,$U73*(1+$C$137)^AF$4,IF(AF$4&gt;3,$Y73*(1+$C$137)^AF$4)))</f>
        <v>0</v>
      </c>
      <c r="AG73" s="149">
        <f>IF(AG$4=0,$P73,IF(AG$4&lt;4,$U73*(1+$C$137)^AG$4,IF(AG$4&gt;3,$Y73*(1+$C$137)^AG$4)))</f>
        <v>0</v>
      </c>
      <c r="AH73" s="149">
        <f>IF(AH$4=0,$P73,IF(AH$4&lt;4,$U73*(1+$C$137)^AH$4,IF(AH$4&gt;3,$Y73*(1+$C$137)^AH$4)))</f>
        <v>0</v>
      </c>
      <c r="AI73" s="149">
        <f>IF(AI$4=0,$P73,IF(AI$4&lt;4,$U73*(1+$C$137)^AI$4,IF(AI$4&gt;3,$Y73*(1+$C$137)^AI$4)))</f>
        <v>0</v>
      </c>
      <c r="AJ73" s="149">
        <f>IF(AJ$4=0,$P73,IF(AJ$4&lt;4,$U73*(1+$C$137)^AJ$4,IF(AJ$4&gt;3,$Y73*(1+$C$137)^AJ$4)))</f>
        <v>0</v>
      </c>
      <c r="AK73" s="149">
        <f>IF(AK$4=0,$P73,IF(AK$4&lt;4,$U73*(1+$C$137)^AK$4,IF(AK$4&gt;3,$Y73*(1+$C$137)^AK$4)))</f>
        <v>0</v>
      </c>
      <c r="AL73" s="149">
        <f>IF(AL$4=0,$P73,IF(AL$4&lt;4,$U73*(1+$C$137)^AL$4,IF(AL$4&gt;3,$Y73*(1+$C$137)^AL$4)))</f>
        <v>0</v>
      </c>
      <c r="AM73" s="149">
        <f>IF(AM$4=0,$P73,IF(AM$4&lt;4,$U73*(1+$C$137)^AM$4,IF(AM$4&gt;3,$Y73*(1+$C$137)^AM$4)))</f>
        <v>0</v>
      </c>
      <c r="AN73" s="149">
        <f>IF(AN$4=0,$P73,IF(AN$4&lt;4,$U73*(1+$C$137)^AN$4,IF(AN$4&gt;3,$Y73*(1+$C$137)^AN$4)))</f>
        <v>0</v>
      </c>
      <c r="AO73" s="149">
        <f>IF(AO$4=0,$P73,IF(AO$4&lt;4,$U73*(1+$C$137)^AO$4,IF(AO$4&gt;3,$Y73*(1+$C$137)^AO$4)))</f>
        <v>0</v>
      </c>
      <c r="AP73" s="149">
        <f>IF(AP$4=0,$P73,IF(AP$4&lt;4,$U73*(1+$C$137)^AP$4,IF(AP$4&gt;3,$Y73*(1+$C$137)^AP$4)))</f>
        <v>0</v>
      </c>
      <c r="AQ73" s="149">
        <f>IF(AQ$4=0,$P73,IF(AQ$4&lt;4,$U73*(1+$C$137)^AQ$4,IF(AQ$4&gt;3,$Y73*(1+$C$137)^AQ$4)))</f>
        <v>0</v>
      </c>
      <c r="AR73" s="149">
        <f>IF(AR$4=0,$P73,IF(AR$4&lt;4,$U73*(1+$C$137)^AR$4,IF(AR$4&gt;3,$Y73*(1+$C$137)^AR$4)))</f>
        <v>0</v>
      </c>
      <c r="AS73" s="149">
        <f>IF(AS$4=0,$P73,IF(AS$4&lt;4,$U73*(1+$C$137)^AS$4,IF(AS$4&gt;3,$Y73*(1+$C$137)^AS$4)))</f>
        <v>0</v>
      </c>
      <c r="AT73" s="149">
        <f>IF(AT$4=0,$P73,IF(AT$4&lt;4,$U73*(1+$C$137)^AT$4,IF(AT$4&gt;3,$Y73*(1+$C$137)^AT$4)))</f>
        <v>0</v>
      </c>
      <c r="AU73" s="149">
        <f>IF(AU$4=0,$P73,IF(AU$4&lt;4,$U73*(1+$C$137)^AU$4,IF(AU$4&gt;3,$Y73*(1+$C$137)^AU$4)))</f>
        <v>0</v>
      </c>
      <c r="AV73" s="149">
        <f>IF(AV$4=0,$P73,IF(AV$4&lt;4,$U73*(1+$C$137)^AV$4,IF(AV$4&gt;3,$Y73*(1+$C$137)^AV$4)))</f>
        <v>0</v>
      </c>
      <c r="AW73" s="149">
        <f>IF(AW$4=0,$P73,IF(AW$4&lt;4,$U73*(1+$C$137)^AW$4,IF(AW$4&gt;3,$Y73*(1+$C$137)^AW$4)))</f>
        <v>0</v>
      </c>
      <c r="AX73" s="149">
        <f>IF(AX$4=0,$P73,IF(AX$4&lt;4,$U73*(1+$C$137)^AX$4,IF(AX$4&gt;3,$Y73*(1+$C$137)^AX$4)))</f>
        <v>0</v>
      </c>
      <c r="AY73" s="149">
        <f>IF(AY$4=0,$P73,IF(AY$4&lt;4,$U73*(1+$C$137)^AY$4,IF(AY$4&gt;3,$Y73*(1+$C$137)^AY$4)))</f>
        <v>0</v>
      </c>
      <c r="AZ73" s="149">
        <f>IF(AZ$4=0,$P73,IF(AZ$4&lt;4,$U73*(1+$C$137)^AZ$4,IF(AZ$4&gt;3,$Y73*(1+$C$137)^AZ$4)))</f>
        <v>0</v>
      </c>
      <c r="BA73" s="149">
        <f>IF(BA$4=0,$P73,IF(BA$4&lt;4,$U73*(1+$C$137)^BA$4,IF(BA$4&gt;3,$Y73*(1+$C$137)^BA$4)))</f>
        <v>0</v>
      </c>
      <c r="BB73" s="149">
        <f>IF(BB$4=0,$P73,IF(BB$4&lt;4,$U73*(1+$C$137)^BB$4,IF(BB$4&gt;3,$Y73*(1+$C$137)^BB$4)))</f>
        <v>0</v>
      </c>
      <c r="BC73" s="149">
        <f>IF(BC$4=0,$P73,IF(BC$4&lt;4,$U73*(1+$C$137)^BC$4,IF(BC$4&gt;3,$Y73*(1+$C$137)^BC$4)))</f>
        <v>0</v>
      </c>
      <c r="BD73" s="149">
        <f>IF(BD$4=0,$P73,IF(BD$4&lt;4,$U73*(1+$C$137)^BD$4,IF(BD$4&gt;3,$Y73*(1+$C$137)^BD$4)))</f>
        <v>0</v>
      </c>
      <c r="BE73" s="149">
        <f>IF(BE$4=0,$P73,IF(BE$4&lt;4,$U73*(1+$C$137)^BE$4,IF(BE$4&gt;3,$Y73*(1+$C$137)^BE$4)))</f>
        <v>0</v>
      </c>
      <c r="BF73" s="149">
        <f>IF(BF$4=0,$P73,IF(BF$4&lt;4,$U73*(1+$C$137)^BF$4,IF(BF$4&gt;3,$Y73*(1+$C$137)^BF$4)))</f>
        <v>0</v>
      </c>
      <c r="BG73" s="149">
        <f>IF(BG$4=0,$P73,IF(BG$4&lt;4,$U73*(1+$C$137)^BG$4,IF(BG$4&gt;3,$Y73*(1+$C$137)^BG$4)))</f>
        <v>0</v>
      </c>
      <c r="BH73" s="149">
        <f>IF(BH$4=0,$P73,IF(BH$4&lt;4,$U73*(1+$C$137)^BH$4,IF(BH$4&gt;3,$Y73*(1+$C$137)^BH$4)))</f>
        <v>0</v>
      </c>
      <c r="BI73" s="149">
        <f>IF(BI$4=0,$P73,IF(BI$4&lt;4,$U73*(1+$C$137)^BI$4,IF(BI$4&gt;3,$Y73*(1+$C$137)^BI$4)))</f>
        <v>0</v>
      </c>
      <c r="BJ73" s="149">
        <f>IF(BJ$4=0,$P73,IF(BJ$4&lt;4,$U73*(1+$C$137)^BJ$4,IF(BJ$4&gt;3,$Y73*(1+$C$137)^BJ$4)))</f>
        <v>0</v>
      </c>
      <c r="BK73" s="149">
        <f>IF(BK$4=0,$P73,IF(BK$4&lt;4,$U73*(1+$C$137)^BK$4,IF(BK$4&gt;3,$Y73*(1+$C$137)^BK$4)))</f>
        <v>0</v>
      </c>
      <c r="BL73" s="149">
        <f>IF(BL$4=0,$P73,IF(BL$4&lt;4,$U73*(1+$C$137)^BL$4,IF(BL$4&gt;3,$Y73*(1+$C$137)^BL$4)))</f>
        <v>0</v>
      </c>
      <c r="BM73" s="149">
        <f>IF(BM$4=0,$P73,IF(BM$4&lt;4,$U73*(1+$C$137)^BM$4,IF(BM$4&gt;3,$Y73*(1+$C$137)^BM$4)))</f>
        <v>0</v>
      </c>
      <c r="BN73" s="149">
        <f>IF(BN$4=0,$P73,IF(BN$4&lt;4,$U73*(1+$C$137)^BN$4,IF(BN$4&gt;3,$Y73*(1+$C$137)^BN$4)))</f>
        <v>0</v>
      </c>
      <c r="BO73" s="149">
        <f>IF(BO$4=0,$P73,IF(BO$4&lt;4,$U73*(1+$C$137)^BO$4,IF(BO$4&gt;3,$Y73*(1+$C$137)^BO$4)))</f>
        <v>0</v>
      </c>
      <c r="BP73" s="149">
        <f>IF(BP$4=0,$P73,IF(BP$4&lt;4,$U73*(1+$C$137)^BP$4,IF(BP$4&gt;3,$Y73*(1+$C$137)^BP$4)))</f>
        <v>0</v>
      </c>
      <c r="BQ73" s="149">
        <f>IF(BQ$4=0,$P73,IF(BQ$4&lt;4,$U73*(1+$C$137)^BQ$4,IF(BQ$4&gt;3,$Y73*(1+$C$137)^BQ$4)))</f>
        <v>0</v>
      </c>
      <c r="BR73" s="149">
        <f>IF(BR$4=0,$P73,IF(BR$4&lt;4,$U73*(1+$C$137)^BR$4,IF(BR$4&gt;3,$Y73*(1+$C$137)^BR$4)))</f>
        <v>0</v>
      </c>
      <c r="BS73" s="149">
        <f>IF(BS$4=0,$P73,IF(BS$4&lt;4,$U73*(1+$C$137)^BS$4,IF(BS$4&gt;3,$Y73*(1+$C$137)^BS$4)))</f>
        <v>0</v>
      </c>
      <c r="BT73" s="1"/>
      <c r="BU73" s="2"/>
      <c r="BV73" s="93" t="str">
        <f t="shared" si="39"/>
        <v>Swale planting</v>
      </c>
      <c r="BW73" s="2"/>
      <c r="BX73" s="93"/>
      <c r="BY73" s="2"/>
    </row>
    <row r="74" spans="1:77" ht="16" x14ac:dyDescent="0.15">
      <c r="A74" s="14"/>
      <c r="B74" s="1097" t="s">
        <v>39</v>
      </c>
      <c r="C74" s="98" t="s">
        <v>40</v>
      </c>
      <c r="D74" s="546" t="s">
        <v>40</v>
      </c>
      <c r="E74" s="49"/>
      <c r="F74" s="421"/>
      <c r="G74" s="421"/>
      <c r="H74" s="547">
        <v>6</v>
      </c>
      <c r="I74" s="548" t="s">
        <v>137</v>
      </c>
      <c r="J74" s="549" t="s">
        <v>117</v>
      </c>
      <c r="K74" s="476">
        <v>0</v>
      </c>
      <c r="L74" s="550">
        <f t="shared" ref="L74:L84" si="41">IF(OR($F74&gt;0,$G74&gt;0,$H74&gt;0),MAX($F74:$H74)*K74,0)</f>
        <v>0</v>
      </c>
      <c r="M74" s="1004" t="s">
        <v>138</v>
      </c>
      <c r="N74" s="551">
        <v>185</v>
      </c>
      <c r="O74" s="550">
        <f t="shared" si="22"/>
        <v>1110</v>
      </c>
      <c r="P74" s="144">
        <f t="shared" si="23"/>
        <v>1110</v>
      </c>
      <c r="Q74" s="552" t="s">
        <v>117</v>
      </c>
      <c r="R74" s="549" t="s">
        <v>117</v>
      </c>
      <c r="S74" s="553" t="s">
        <v>117</v>
      </c>
      <c r="T74" s="553" t="s">
        <v>117</v>
      </c>
      <c r="U74" s="48">
        <f t="shared" ref="U74:U84" si="42">IFERROR(S74*T74,0)</f>
        <v>0</v>
      </c>
      <c r="V74" s="49"/>
      <c r="W74" s="554"/>
      <c r="X74" s="555"/>
      <c r="Y74" s="50">
        <f t="shared" si="40"/>
        <v>0</v>
      </c>
      <c r="Z74" s="1"/>
      <c r="AA74" s="88">
        <f>NPV($C$136,AF74:BS74)+AE74</f>
        <v>1110</v>
      </c>
      <c r="AB74" s="74"/>
      <c r="AC74" s="392"/>
      <c r="AD74" s="392"/>
      <c r="AE74" s="149">
        <f>IF(AE$4=0,$P74,IF(AE$4&lt;4,$U74*(1+$C$137)^AE$4,IF(AE$4&gt;3,$Y74*(1+$C$137)^AE$4)))</f>
        <v>1110</v>
      </c>
      <c r="AF74" s="149">
        <f>IF(AF$4=0,$P74,IF(AF$4&lt;4,$U74*(1+$C$137)^AF$4,IF(AF$4&gt;3,$Y74*(1+$C$137)^AF$4)))</f>
        <v>0</v>
      </c>
      <c r="AG74" s="149">
        <f>IF(AG$4=0,$P74,IF(AG$4&lt;4,$U74*(1+$C$137)^AG$4,IF(AG$4&gt;3,$Y74*(1+$C$137)^AG$4)))</f>
        <v>0</v>
      </c>
      <c r="AH74" s="149">
        <f>IF(AH$4=0,$P74,IF(AH$4&lt;4,$U74*(1+$C$137)^AH$4,IF(AH$4&gt;3,$Y74*(1+$C$137)^AH$4)))</f>
        <v>0</v>
      </c>
      <c r="AI74" s="149">
        <f>IF(AI$4=0,$P74,IF(AI$4&lt;4,$U74*(1+$C$137)^AI$4,IF(AI$4&gt;3,$Y74*(1+$C$137)^AI$4)))</f>
        <v>0</v>
      </c>
      <c r="AJ74" s="149">
        <f>IF(AJ$4=0,$P74,IF(AJ$4&lt;4,$U74*(1+$C$137)^AJ$4,IF(AJ$4&gt;3,$Y74*(1+$C$137)^AJ$4)))</f>
        <v>0</v>
      </c>
      <c r="AK74" s="149">
        <f>IF(AK$4=0,$P74,IF(AK$4&lt;4,$U74*(1+$C$137)^AK$4,IF(AK$4&gt;3,$Y74*(1+$C$137)^AK$4)))</f>
        <v>0</v>
      </c>
      <c r="AL74" s="149">
        <f>IF(AL$4=0,$P74,IF(AL$4&lt;4,$U74*(1+$C$137)^AL$4,IF(AL$4&gt;3,$Y74*(1+$C$137)^AL$4)))</f>
        <v>0</v>
      </c>
      <c r="AM74" s="149">
        <f>IF(AM$4=0,$P74,IF(AM$4&lt;4,$U74*(1+$C$137)^AM$4,IF(AM$4&gt;3,$Y74*(1+$C$137)^AM$4)))</f>
        <v>0</v>
      </c>
      <c r="AN74" s="149">
        <f>IF(AN$4=0,$P74,IF(AN$4&lt;4,$U74*(1+$C$137)^AN$4,IF(AN$4&gt;3,$Y74*(1+$C$137)^AN$4)))</f>
        <v>0</v>
      </c>
      <c r="AO74" s="149">
        <f>IF(AO$4=0,$P74,IF(AO$4&lt;4,$U74*(1+$C$137)^AO$4,IF(AO$4&gt;3,$Y74*(1+$C$137)^AO$4)))</f>
        <v>0</v>
      </c>
      <c r="AP74" s="149">
        <f>IF(AP$4=0,$P74,IF(AP$4&lt;4,$U74*(1+$C$137)^AP$4,IF(AP$4&gt;3,$Y74*(1+$C$137)^AP$4)))</f>
        <v>0</v>
      </c>
      <c r="AQ74" s="149">
        <f>IF(AQ$4=0,$P74,IF(AQ$4&lt;4,$U74*(1+$C$137)^AQ$4,IF(AQ$4&gt;3,$Y74*(1+$C$137)^AQ$4)))</f>
        <v>0</v>
      </c>
      <c r="AR74" s="149">
        <f>IF(AR$4=0,$P74,IF(AR$4&lt;4,$U74*(1+$C$137)^AR$4,IF(AR$4&gt;3,$Y74*(1+$C$137)^AR$4)))</f>
        <v>0</v>
      </c>
      <c r="AS74" s="149">
        <f>IF(AS$4=0,$P74,IF(AS$4&lt;4,$U74*(1+$C$137)^AS$4,IF(AS$4&gt;3,$Y74*(1+$C$137)^AS$4)))</f>
        <v>0</v>
      </c>
      <c r="AT74" s="149">
        <f>IF(AT$4=0,$P74,IF(AT$4&lt;4,$U74*(1+$C$137)^AT$4,IF(AT$4&gt;3,$Y74*(1+$C$137)^AT$4)))</f>
        <v>0</v>
      </c>
      <c r="AU74" s="149">
        <f>IF(AU$4=0,$P74,IF(AU$4&lt;4,$U74*(1+$C$137)^AU$4,IF(AU$4&gt;3,$Y74*(1+$C$137)^AU$4)))</f>
        <v>0</v>
      </c>
      <c r="AV74" s="149">
        <f>IF(AV$4=0,$P74,IF(AV$4&lt;4,$U74*(1+$C$137)^AV$4,IF(AV$4&gt;3,$Y74*(1+$C$137)^AV$4)))</f>
        <v>0</v>
      </c>
      <c r="AW74" s="149">
        <f>IF(AW$4=0,$P74,IF(AW$4&lt;4,$U74*(1+$C$137)^AW$4,IF(AW$4&gt;3,$Y74*(1+$C$137)^AW$4)))</f>
        <v>0</v>
      </c>
      <c r="AX74" s="149">
        <f>IF(AX$4=0,$P74,IF(AX$4&lt;4,$U74*(1+$C$137)^AX$4,IF(AX$4&gt;3,$Y74*(1+$C$137)^AX$4)))</f>
        <v>0</v>
      </c>
      <c r="AY74" s="149">
        <f>IF(AY$4=0,$P74,IF(AY$4&lt;4,$U74*(1+$C$137)^AY$4,IF(AY$4&gt;3,$Y74*(1+$C$137)^AY$4)))</f>
        <v>0</v>
      </c>
      <c r="AZ74" s="149">
        <f>IF(AZ$4=0,$P74,IF(AZ$4&lt;4,$U74*(1+$C$137)^AZ$4,IF(AZ$4&gt;3,$Y74*(1+$C$137)^AZ$4)))</f>
        <v>0</v>
      </c>
      <c r="BA74" s="149">
        <f>IF(BA$4=0,$P74,IF(BA$4&lt;4,$U74*(1+$C$137)^BA$4,IF(BA$4&gt;3,$Y74*(1+$C$137)^BA$4)))</f>
        <v>0</v>
      </c>
      <c r="BB74" s="149">
        <f>IF(BB$4=0,$P74,IF(BB$4&lt;4,$U74*(1+$C$137)^BB$4,IF(BB$4&gt;3,$Y74*(1+$C$137)^BB$4)))</f>
        <v>0</v>
      </c>
      <c r="BC74" s="149">
        <f>IF(BC$4=0,$P74,IF(BC$4&lt;4,$U74*(1+$C$137)^BC$4,IF(BC$4&gt;3,$Y74*(1+$C$137)^BC$4)))</f>
        <v>0</v>
      </c>
      <c r="BD74" s="149">
        <f>IF(BD$4=0,$P74,IF(BD$4&lt;4,$U74*(1+$C$137)^BD$4,IF(BD$4&gt;3,$Y74*(1+$C$137)^BD$4)))</f>
        <v>0</v>
      </c>
      <c r="BE74" s="149">
        <f>IF(BE$4=0,$P74,IF(BE$4&lt;4,$U74*(1+$C$137)^BE$4,IF(BE$4&gt;3,$Y74*(1+$C$137)^BE$4)))</f>
        <v>0</v>
      </c>
      <c r="BF74" s="149">
        <f>IF(BF$4=0,$P74,IF(BF$4&lt;4,$U74*(1+$C$137)^BF$4,IF(BF$4&gt;3,$Y74*(1+$C$137)^BF$4)))</f>
        <v>0</v>
      </c>
      <c r="BG74" s="149">
        <f>IF(BG$4=0,$P74,IF(BG$4&lt;4,$U74*(1+$C$137)^BG$4,IF(BG$4&gt;3,$Y74*(1+$C$137)^BG$4)))</f>
        <v>0</v>
      </c>
      <c r="BH74" s="149">
        <f>IF(BH$4=0,$P74,IF(BH$4&lt;4,$U74*(1+$C$137)^BH$4,IF(BH$4&gt;3,$Y74*(1+$C$137)^BH$4)))</f>
        <v>0</v>
      </c>
      <c r="BI74" s="149">
        <f>IF(BI$4=0,$P74,IF(BI$4&lt;4,$U74*(1+$C$137)^BI$4,IF(BI$4&gt;3,$Y74*(1+$C$137)^BI$4)))</f>
        <v>0</v>
      </c>
      <c r="BJ74" s="149">
        <f>IF(BJ$4=0,$P74,IF(BJ$4&lt;4,$U74*(1+$C$137)^BJ$4,IF(BJ$4&gt;3,$Y74*(1+$C$137)^BJ$4)))</f>
        <v>0</v>
      </c>
      <c r="BK74" s="149">
        <f>IF(BK$4=0,$P74,IF(BK$4&lt;4,$U74*(1+$C$137)^BK$4,IF(BK$4&gt;3,$Y74*(1+$C$137)^BK$4)))</f>
        <v>0</v>
      </c>
      <c r="BL74" s="149">
        <f>IF(BL$4=0,$P74,IF(BL$4&lt;4,$U74*(1+$C$137)^BL$4,IF(BL$4&gt;3,$Y74*(1+$C$137)^BL$4)))</f>
        <v>0</v>
      </c>
      <c r="BM74" s="149">
        <f>IF(BM$4=0,$P74,IF(BM$4&lt;4,$U74*(1+$C$137)^BM$4,IF(BM$4&gt;3,$Y74*(1+$C$137)^BM$4)))</f>
        <v>0</v>
      </c>
      <c r="BN74" s="149">
        <f>IF(BN$4=0,$P74,IF(BN$4&lt;4,$U74*(1+$C$137)^BN$4,IF(BN$4&gt;3,$Y74*(1+$C$137)^BN$4)))</f>
        <v>0</v>
      </c>
      <c r="BO74" s="149">
        <f>IF(BO$4=0,$P74,IF(BO$4&lt;4,$U74*(1+$C$137)^BO$4,IF(BO$4&gt;3,$Y74*(1+$C$137)^BO$4)))</f>
        <v>0</v>
      </c>
      <c r="BP74" s="149">
        <f>IF(BP$4=0,$P74,IF(BP$4&lt;4,$U74*(1+$C$137)^BP$4,IF(BP$4&gt;3,$Y74*(1+$C$137)^BP$4)))</f>
        <v>0</v>
      </c>
      <c r="BQ74" s="149">
        <f>IF(BQ$4=0,$P74,IF(BQ$4&lt;4,$U74*(1+$C$137)^BQ$4,IF(BQ$4&gt;3,$Y74*(1+$C$137)^BQ$4)))</f>
        <v>0</v>
      </c>
      <c r="BR74" s="149">
        <f>IF(BR$4=0,$P74,IF(BR$4&lt;4,$U74*(1+$C$137)^BR$4,IF(BR$4&gt;3,$Y74*(1+$C$137)^BR$4)))</f>
        <v>0</v>
      </c>
      <c r="BS74" s="149">
        <f>IF(BS$4=0,$P74,IF(BS$4&lt;4,$U74*(1+$C$137)^BS$4,IF(BS$4&gt;3,$Y74*(1+$C$137)^BS$4)))</f>
        <v>0</v>
      </c>
      <c r="BT74" s="1"/>
      <c r="BU74" s="2"/>
      <c r="BV74" s="93" t="str">
        <f t="shared" si="39"/>
        <v>Hibernacula</v>
      </c>
      <c r="BW74" s="2"/>
      <c r="BX74" s="93"/>
      <c r="BY74" s="2"/>
    </row>
    <row r="75" spans="1:77" ht="16" x14ac:dyDescent="0.15">
      <c r="A75" s="14"/>
      <c r="B75" s="1070"/>
      <c r="C75" s="145" t="s">
        <v>41</v>
      </c>
      <c r="D75" s="34" t="s">
        <v>41</v>
      </c>
      <c r="E75" s="32"/>
      <c r="F75" s="409"/>
      <c r="G75" s="409"/>
      <c r="H75" s="556">
        <v>6</v>
      </c>
      <c r="I75" s="557" t="s">
        <v>137</v>
      </c>
      <c r="J75" s="558" t="s">
        <v>117</v>
      </c>
      <c r="K75" s="155">
        <v>0</v>
      </c>
      <c r="L75" s="559">
        <f t="shared" si="41"/>
        <v>0</v>
      </c>
      <c r="M75" s="1005" t="s">
        <v>138</v>
      </c>
      <c r="N75" s="560">
        <v>92.5</v>
      </c>
      <c r="O75" s="559">
        <f t="shared" si="22"/>
        <v>555</v>
      </c>
      <c r="P75" s="146">
        <f t="shared" si="23"/>
        <v>555</v>
      </c>
      <c r="Q75" s="561" t="s">
        <v>117</v>
      </c>
      <c r="R75" s="558" t="s">
        <v>117</v>
      </c>
      <c r="S75" s="562" t="s">
        <v>117</v>
      </c>
      <c r="T75" s="562" t="s">
        <v>117</v>
      </c>
      <c r="U75" s="31">
        <f t="shared" si="42"/>
        <v>0</v>
      </c>
      <c r="V75" s="32"/>
      <c r="W75" s="563"/>
      <c r="X75" s="564"/>
      <c r="Y75" s="33">
        <f t="shared" si="40"/>
        <v>0</v>
      </c>
      <c r="Z75" s="1"/>
      <c r="AA75" s="88">
        <f>NPV($C$136,AF75:BS75)+AE75</f>
        <v>555</v>
      </c>
      <c r="AB75" s="74"/>
      <c r="AC75" s="392"/>
      <c r="AD75" s="392"/>
      <c r="AE75" s="149">
        <f>IF(AE$4=0,$P75,IF(AE$4&lt;4,$U75*(1+$C$137)^AE$4,IF(AE$4&gt;3,$Y75*(1+$C$137)^AE$4)))</f>
        <v>555</v>
      </c>
      <c r="AF75" s="149">
        <f>IF(AF$4=0,$P75,IF(AF$4&lt;4,$U75*(1+$C$137)^AF$4,IF(AF$4&gt;3,$Y75*(1+$C$137)^AF$4)))</f>
        <v>0</v>
      </c>
      <c r="AG75" s="149">
        <f>IF(AG$4=0,$P75,IF(AG$4&lt;4,$U75*(1+$C$137)^AG$4,IF(AG$4&gt;3,$Y75*(1+$C$137)^AG$4)))</f>
        <v>0</v>
      </c>
      <c r="AH75" s="149">
        <f>IF(AH$4=0,$P75,IF(AH$4&lt;4,$U75*(1+$C$137)^AH$4,IF(AH$4&gt;3,$Y75*(1+$C$137)^AH$4)))</f>
        <v>0</v>
      </c>
      <c r="AI75" s="149">
        <f>IF(AI$4=0,$P75,IF(AI$4&lt;4,$U75*(1+$C$137)^AI$4,IF(AI$4&gt;3,$Y75*(1+$C$137)^AI$4)))</f>
        <v>0</v>
      </c>
      <c r="AJ75" s="149">
        <f>IF(AJ$4=0,$P75,IF(AJ$4&lt;4,$U75*(1+$C$137)^AJ$4,IF(AJ$4&gt;3,$Y75*(1+$C$137)^AJ$4)))</f>
        <v>0</v>
      </c>
      <c r="AK75" s="149">
        <f>IF(AK$4=0,$P75,IF(AK$4&lt;4,$U75*(1+$C$137)^AK$4,IF(AK$4&gt;3,$Y75*(1+$C$137)^AK$4)))</f>
        <v>0</v>
      </c>
      <c r="AL75" s="149">
        <f>IF(AL$4=0,$P75,IF(AL$4&lt;4,$U75*(1+$C$137)^AL$4,IF(AL$4&gt;3,$Y75*(1+$C$137)^AL$4)))</f>
        <v>0</v>
      </c>
      <c r="AM75" s="149">
        <f>IF(AM$4=0,$P75,IF(AM$4&lt;4,$U75*(1+$C$137)^AM$4,IF(AM$4&gt;3,$Y75*(1+$C$137)^AM$4)))</f>
        <v>0</v>
      </c>
      <c r="AN75" s="149">
        <f>IF(AN$4=0,$P75,IF(AN$4&lt;4,$U75*(1+$C$137)^AN$4,IF(AN$4&gt;3,$Y75*(1+$C$137)^AN$4)))</f>
        <v>0</v>
      </c>
      <c r="AO75" s="149">
        <f>IF(AO$4=0,$P75,IF(AO$4&lt;4,$U75*(1+$C$137)^AO$4,IF(AO$4&gt;3,$Y75*(1+$C$137)^AO$4)))</f>
        <v>0</v>
      </c>
      <c r="AP75" s="149">
        <f>IF(AP$4=0,$P75,IF(AP$4&lt;4,$U75*(1+$C$137)^AP$4,IF(AP$4&gt;3,$Y75*(1+$C$137)^AP$4)))</f>
        <v>0</v>
      </c>
      <c r="AQ75" s="149">
        <f>IF(AQ$4=0,$P75,IF(AQ$4&lt;4,$U75*(1+$C$137)^AQ$4,IF(AQ$4&gt;3,$Y75*(1+$C$137)^AQ$4)))</f>
        <v>0</v>
      </c>
      <c r="AR75" s="149">
        <f>IF(AR$4=0,$P75,IF(AR$4&lt;4,$U75*(1+$C$137)^AR$4,IF(AR$4&gt;3,$Y75*(1+$C$137)^AR$4)))</f>
        <v>0</v>
      </c>
      <c r="AS75" s="149">
        <f>IF(AS$4=0,$P75,IF(AS$4&lt;4,$U75*(1+$C$137)^AS$4,IF(AS$4&gt;3,$Y75*(1+$C$137)^AS$4)))</f>
        <v>0</v>
      </c>
      <c r="AT75" s="149">
        <f>IF(AT$4=0,$P75,IF(AT$4&lt;4,$U75*(1+$C$137)^AT$4,IF(AT$4&gt;3,$Y75*(1+$C$137)^AT$4)))</f>
        <v>0</v>
      </c>
      <c r="AU75" s="149">
        <f>IF(AU$4=0,$P75,IF(AU$4&lt;4,$U75*(1+$C$137)^AU$4,IF(AU$4&gt;3,$Y75*(1+$C$137)^AU$4)))</f>
        <v>0</v>
      </c>
      <c r="AV75" s="149">
        <f>IF(AV$4=0,$P75,IF(AV$4&lt;4,$U75*(1+$C$137)^AV$4,IF(AV$4&gt;3,$Y75*(1+$C$137)^AV$4)))</f>
        <v>0</v>
      </c>
      <c r="AW75" s="149">
        <f>IF(AW$4=0,$P75,IF(AW$4&lt;4,$U75*(1+$C$137)^AW$4,IF(AW$4&gt;3,$Y75*(1+$C$137)^AW$4)))</f>
        <v>0</v>
      </c>
      <c r="AX75" s="149">
        <f>IF(AX$4=0,$P75,IF(AX$4&lt;4,$U75*(1+$C$137)^AX$4,IF(AX$4&gt;3,$Y75*(1+$C$137)^AX$4)))</f>
        <v>0</v>
      </c>
      <c r="AY75" s="149">
        <f>IF(AY$4=0,$P75,IF(AY$4&lt;4,$U75*(1+$C$137)^AY$4,IF(AY$4&gt;3,$Y75*(1+$C$137)^AY$4)))</f>
        <v>0</v>
      </c>
      <c r="AZ75" s="149">
        <f>IF(AZ$4=0,$P75,IF(AZ$4&lt;4,$U75*(1+$C$137)^AZ$4,IF(AZ$4&gt;3,$Y75*(1+$C$137)^AZ$4)))</f>
        <v>0</v>
      </c>
      <c r="BA75" s="149">
        <f>IF(BA$4=0,$P75,IF(BA$4&lt;4,$U75*(1+$C$137)^BA$4,IF(BA$4&gt;3,$Y75*(1+$C$137)^BA$4)))</f>
        <v>0</v>
      </c>
      <c r="BB75" s="149">
        <f>IF(BB$4=0,$P75,IF(BB$4&lt;4,$U75*(1+$C$137)^BB$4,IF(BB$4&gt;3,$Y75*(1+$C$137)^BB$4)))</f>
        <v>0</v>
      </c>
      <c r="BC75" s="149">
        <f>IF(BC$4=0,$P75,IF(BC$4&lt;4,$U75*(1+$C$137)^BC$4,IF(BC$4&gt;3,$Y75*(1+$C$137)^BC$4)))</f>
        <v>0</v>
      </c>
      <c r="BD75" s="149">
        <f>IF(BD$4=0,$P75,IF(BD$4&lt;4,$U75*(1+$C$137)^BD$4,IF(BD$4&gt;3,$Y75*(1+$C$137)^BD$4)))</f>
        <v>0</v>
      </c>
      <c r="BE75" s="149">
        <f>IF(BE$4=0,$P75,IF(BE$4&lt;4,$U75*(1+$C$137)^BE$4,IF(BE$4&gt;3,$Y75*(1+$C$137)^BE$4)))</f>
        <v>0</v>
      </c>
      <c r="BF75" s="149">
        <f>IF(BF$4=0,$P75,IF(BF$4&lt;4,$U75*(1+$C$137)^BF$4,IF(BF$4&gt;3,$Y75*(1+$C$137)^BF$4)))</f>
        <v>0</v>
      </c>
      <c r="BG75" s="149">
        <f>IF(BG$4=0,$P75,IF(BG$4&lt;4,$U75*(1+$C$137)^BG$4,IF(BG$4&gt;3,$Y75*(1+$C$137)^BG$4)))</f>
        <v>0</v>
      </c>
      <c r="BH75" s="149">
        <f>IF(BH$4=0,$P75,IF(BH$4&lt;4,$U75*(1+$C$137)^BH$4,IF(BH$4&gt;3,$Y75*(1+$C$137)^BH$4)))</f>
        <v>0</v>
      </c>
      <c r="BI75" s="149">
        <f>IF(BI$4=0,$P75,IF(BI$4&lt;4,$U75*(1+$C$137)^BI$4,IF(BI$4&gt;3,$Y75*(1+$C$137)^BI$4)))</f>
        <v>0</v>
      </c>
      <c r="BJ75" s="149">
        <f>IF(BJ$4=0,$P75,IF(BJ$4&lt;4,$U75*(1+$C$137)^BJ$4,IF(BJ$4&gt;3,$Y75*(1+$C$137)^BJ$4)))</f>
        <v>0</v>
      </c>
      <c r="BK75" s="149">
        <f>IF(BK$4=0,$P75,IF(BK$4&lt;4,$U75*(1+$C$137)^BK$4,IF(BK$4&gt;3,$Y75*(1+$C$137)^BK$4)))</f>
        <v>0</v>
      </c>
      <c r="BL75" s="149">
        <f>IF(BL$4=0,$P75,IF(BL$4&lt;4,$U75*(1+$C$137)^BL$4,IF(BL$4&gt;3,$Y75*(1+$C$137)^BL$4)))</f>
        <v>0</v>
      </c>
      <c r="BM75" s="149">
        <f>IF(BM$4=0,$P75,IF(BM$4&lt;4,$U75*(1+$C$137)^BM$4,IF(BM$4&gt;3,$Y75*(1+$C$137)^BM$4)))</f>
        <v>0</v>
      </c>
      <c r="BN75" s="149">
        <f>IF(BN$4=0,$P75,IF(BN$4&lt;4,$U75*(1+$C$137)^BN$4,IF(BN$4&gt;3,$Y75*(1+$C$137)^BN$4)))</f>
        <v>0</v>
      </c>
      <c r="BO75" s="149">
        <f>IF(BO$4=0,$P75,IF(BO$4&lt;4,$U75*(1+$C$137)^BO$4,IF(BO$4&gt;3,$Y75*(1+$C$137)^BO$4)))</f>
        <v>0</v>
      </c>
      <c r="BP75" s="149">
        <f>IF(BP$4=0,$P75,IF(BP$4&lt;4,$U75*(1+$C$137)^BP$4,IF(BP$4&gt;3,$Y75*(1+$C$137)^BP$4)))</f>
        <v>0</v>
      </c>
      <c r="BQ75" s="149">
        <f>IF(BQ$4=0,$P75,IF(BQ$4&lt;4,$U75*(1+$C$137)^BQ$4,IF(BQ$4&gt;3,$Y75*(1+$C$137)^BQ$4)))</f>
        <v>0</v>
      </c>
      <c r="BR75" s="149">
        <f>IF(BR$4=0,$P75,IF(BR$4&lt;4,$U75*(1+$C$137)^BR$4,IF(BR$4&gt;3,$Y75*(1+$C$137)^BR$4)))</f>
        <v>0</v>
      </c>
      <c r="BS75" s="149">
        <f>IF(BS$4=0,$P75,IF(BS$4&lt;4,$U75*(1+$C$137)^BS$4,IF(BS$4&gt;3,$Y75*(1+$C$137)^BS$4)))</f>
        <v>0</v>
      </c>
      <c r="BT75" s="1"/>
      <c r="BU75" s="14"/>
      <c r="BV75" s="93" t="str">
        <f t="shared" si="39"/>
        <v>Wood piles</v>
      </c>
      <c r="BW75" s="14"/>
      <c r="BX75" s="93"/>
      <c r="BY75" s="14"/>
    </row>
    <row r="76" spans="1:77" ht="32" x14ac:dyDescent="0.15">
      <c r="A76" s="14"/>
      <c r="B76" s="1070"/>
      <c r="C76" s="145" t="s">
        <v>43</v>
      </c>
      <c r="D76" s="34" t="s">
        <v>43</v>
      </c>
      <c r="E76" s="32"/>
      <c r="F76" s="409"/>
      <c r="G76" s="409"/>
      <c r="H76" s="556">
        <v>20</v>
      </c>
      <c r="I76" s="247" t="s">
        <v>117</v>
      </c>
      <c r="J76" s="558" t="s">
        <v>117</v>
      </c>
      <c r="K76" s="155">
        <v>120</v>
      </c>
      <c r="L76" s="559">
        <f t="shared" si="41"/>
        <v>2400</v>
      </c>
      <c r="M76" s="565" t="s">
        <v>117</v>
      </c>
      <c r="N76" s="155">
        <v>40</v>
      </c>
      <c r="O76" s="559">
        <f t="shared" si="22"/>
        <v>800</v>
      </c>
      <c r="P76" s="146">
        <f t="shared" si="23"/>
        <v>3200</v>
      </c>
      <c r="Q76" s="561" t="s">
        <v>117</v>
      </c>
      <c r="R76" s="558" t="s">
        <v>117</v>
      </c>
      <c r="S76" s="562" t="s">
        <v>117</v>
      </c>
      <c r="T76" s="562" t="s">
        <v>117</v>
      </c>
      <c r="U76" s="31">
        <f t="shared" si="42"/>
        <v>0</v>
      </c>
      <c r="V76" s="28" t="s">
        <v>102</v>
      </c>
      <c r="W76" s="566">
        <v>0.2</v>
      </c>
      <c r="X76" s="564">
        <f t="shared" ref="X76:X77" si="43">P76</f>
        <v>3200</v>
      </c>
      <c r="Y76" s="33">
        <f>X76*W76</f>
        <v>640</v>
      </c>
      <c r="Z76" s="1"/>
      <c r="AA76" s="88">
        <f>NPV($C$136,AF76:BS76)+AE76</f>
        <v>13400.857504275378</v>
      </c>
      <c r="AB76" s="74"/>
      <c r="AC76" s="392"/>
      <c r="AD76" s="392"/>
      <c r="AE76" s="149">
        <f>IF(AE$4=0,$P76,IF(AE$4&lt;4,$U76*(1+$C$137)^AE$4,IF(AE$4&gt;3,$Y76*(1+$C$137)^AE$4)))</f>
        <v>3200</v>
      </c>
      <c r="AF76" s="149">
        <f>IF(AF$4=0,$P76,IF(AF$4&lt;4,$U76*(1+$C$137)^AF$4,IF(AF$4&gt;3,$Y76*(1+$C$137)^AF$4)))</f>
        <v>0</v>
      </c>
      <c r="AG76" s="149">
        <f>IF(AG$4=0,$P76,IF(AG$4&lt;4,$U76*(1+$C$137)^AG$4,IF(AG$4&gt;3,$Y76*(1+$C$137)^AG$4)))</f>
        <v>0</v>
      </c>
      <c r="AH76" s="149">
        <f>IF(AH$4=0,$P76,IF(AH$4&lt;4,$U76*(1+$C$137)^AH$4,IF(AH$4&gt;3,$Y76*(1+$C$137)^AH$4)))</f>
        <v>0</v>
      </c>
      <c r="AI76" s="149">
        <f>IF(AI$4=0,$P76,IF(AI$4&lt;4,$U76*(1+$C$137)^AI$4,IF(AI$4&gt;3,$Y76*(1+$C$137)^AI$4)))</f>
        <v>706.44024999999988</v>
      </c>
      <c r="AJ76" s="149">
        <f>IF(AJ$4=0,$P76,IF(AJ$4&lt;4,$U76*(1+$C$137)^AJ$4,IF(AJ$4&gt;3,$Y76*(1+$C$137)^AJ$4)))</f>
        <v>724.10125624999978</v>
      </c>
      <c r="AK76" s="149">
        <f>IF(AK$4=0,$P76,IF(AK$4&lt;4,$U76*(1+$C$137)^AK$4,IF(AK$4&gt;3,$Y76*(1+$C$137)^AK$4)))</f>
        <v>742.20378765624969</v>
      </c>
      <c r="AL76" s="149">
        <f>IF(AL$4=0,$P76,IF(AL$4&lt;4,$U76*(1+$C$137)^AL$4,IF(AL$4&gt;3,$Y76*(1+$C$137)^AL$4)))</f>
        <v>760.75888234765603</v>
      </c>
      <c r="AM76" s="149">
        <f>IF(AM$4=0,$P76,IF(AM$4&lt;4,$U76*(1+$C$137)^AM$4,IF(AM$4&gt;3,$Y76*(1+$C$137)^AM$4)))</f>
        <v>779.77785440634739</v>
      </c>
      <c r="AN76" s="149">
        <f>IF(AN$4=0,$P76,IF(AN$4&lt;4,$U76*(1+$C$137)^AN$4,IF(AN$4&gt;3,$Y76*(1+$C$137)^AN$4)))</f>
        <v>799.27230076650585</v>
      </c>
      <c r="AO76" s="149">
        <f>IF(AO$4=0,$P76,IF(AO$4&lt;4,$U76*(1+$C$137)^AO$4,IF(AO$4&gt;3,$Y76*(1+$C$137)^AO$4)))</f>
        <v>819.25410828566851</v>
      </c>
      <c r="AP76" s="149">
        <f>IF(AP$4=0,$P76,IF(AP$4&lt;4,$U76*(1+$C$137)^AP$4,IF(AP$4&gt;3,$Y76*(1+$C$137)^AP$4)))</f>
        <v>839.7354609928102</v>
      </c>
      <c r="AQ76" s="149">
        <f>IF(AQ$4=0,$P76,IF(AQ$4&lt;4,$U76*(1+$C$137)^AQ$4,IF(AQ$4&gt;3,$Y76*(1+$C$137)^AQ$4)))</f>
        <v>860.72884751763036</v>
      </c>
      <c r="AR76" s="149">
        <f>IF(AR$4=0,$P76,IF(AR$4&lt;4,$U76*(1+$C$137)^AR$4,IF(AR$4&gt;3,$Y76*(1+$C$137)^AR$4)))</f>
        <v>882.24706870557111</v>
      </c>
      <c r="AS76" s="149">
        <f>IF(AS$4=0,$P76,IF(AS$4&lt;4,$U76*(1+$C$137)^AS$4,IF(AS$4&gt;3,$Y76*(1+$C$137)^AS$4)))</f>
        <v>904.30324542321034</v>
      </c>
      <c r="AT76" s="149">
        <f>IF(AT$4=0,$P76,IF(AT$4&lt;4,$U76*(1+$C$137)^AT$4,IF(AT$4&gt;3,$Y76*(1+$C$137)^AT$4)))</f>
        <v>926.91082655879075</v>
      </c>
      <c r="AU76" s="149">
        <f>IF(AU$4=0,$P76,IF(AU$4&lt;4,$U76*(1+$C$137)^AU$4,IF(AU$4&gt;3,$Y76*(1+$C$137)^AU$4)))</f>
        <v>950.08359722276043</v>
      </c>
      <c r="AV76" s="149">
        <f>IF(AV$4=0,$P76,IF(AV$4&lt;4,$U76*(1+$C$137)^AV$4,IF(AV$4&gt;3,$Y76*(1+$C$137)^AV$4)))</f>
        <v>973.83568715332922</v>
      </c>
      <c r="AW76" s="149">
        <f>IF(AW$4=0,$P76,IF(AW$4&lt;4,$U76*(1+$C$137)^AW$4,IF(AW$4&gt;3,$Y76*(1+$C$137)^AW$4)))</f>
        <v>998.18157933216253</v>
      </c>
      <c r="AX76" s="149">
        <f>IF(AX$4=0,$P76,IF(AX$4&lt;4,$U76*(1+$C$137)^AX$4,IF(AX$4&gt;3,$Y76*(1+$C$137)^AX$4)))</f>
        <v>1023.1361188154666</v>
      </c>
      <c r="AY76" s="149">
        <f>IF(AY$4=0,$P76,IF(AY$4&lt;4,$U76*(1+$C$137)^AY$4,IF(AY$4&gt;3,$Y76*(1+$C$137)^AY$4)))</f>
        <v>1048.7145217858531</v>
      </c>
      <c r="AZ76" s="149">
        <f>IF(AZ$4=0,$P76,IF(AZ$4&lt;4,$U76*(1+$C$137)^AZ$4,IF(AZ$4&gt;3,$Y76*(1+$C$137)^AZ$4)))</f>
        <v>1074.9323848304994</v>
      </c>
      <c r="BA76" s="149">
        <f>IF(BA$4=0,$P76,IF(BA$4&lt;4,$U76*(1+$C$137)^BA$4,IF(BA$4&gt;3,$Y76*(1+$C$137)^BA$4)))</f>
        <v>1101.8056944512618</v>
      </c>
      <c r="BB76" s="149">
        <f>IF(BB$4=0,$P76,IF(BB$4&lt;4,$U76*(1+$C$137)^BB$4,IF(BB$4&gt;3,$Y76*(1+$C$137)^BB$4)))</f>
        <v>1129.3508368125433</v>
      </c>
      <c r="BC76" s="149">
        <f>IF(BC$4=0,$P76,IF(BC$4&lt;4,$U76*(1+$C$137)^BC$4,IF(BC$4&gt;3,$Y76*(1+$C$137)^BC$4)))</f>
        <v>1157.584607732857</v>
      </c>
      <c r="BD76" s="149">
        <f>IF(BD$4=0,$P76,IF(BD$4&lt;4,$U76*(1+$C$137)^BD$4,IF(BD$4&gt;3,$Y76*(1+$C$137)^BD$4)))</f>
        <v>1186.524222926178</v>
      </c>
      <c r="BE76" s="149">
        <f>IF(BE$4=0,$P76,IF(BE$4&lt;4,$U76*(1+$C$137)^BE$4,IF(BE$4&gt;3,$Y76*(1+$C$137)^BE$4)))</f>
        <v>1216.1873284993326</v>
      </c>
      <c r="BF76" s="149">
        <f>IF(BF$4=0,$P76,IF(BF$4&lt;4,$U76*(1+$C$137)^BF$4,IF(BF$4&gt;3,$Y76*(1+$C$137)^BF$4)))</f>
        <v>1246.5920117118158</v>
      </c>
      <c r="BG76" s="149">
        <f>IF(BG$4=0,$P76,IF(BG$4&lt;4,$U76*(1+$C$137)^BG$4,IF(BG$4&gt;3,$Y76*(1+$C$137)^BG$4)))</f>
        <v>1277.756812004611</v>
      </c>
      <c r="BH76" s="149">
        <f>IF(BH$4=0,$P76,IF(BH$4&lt;4,$U76*(1+$C$137)^BH$4,IF(BH$4&gt;3,$Y76*(1+$C$137)^BH$4)))</f>
        <v>1309.7007323047264</v>
      </c>
      <c r="BI76" s="149">
        <f>IF(BI$4=0,$P76,IF(BI$4&lt;4,$U76*(1+$C$137)^BI$4,IF(BI$4&gt;3,$Y76*(1+$C$137)^BI$4)))</f>
        <v>1342.4432506123444</v>
      </c>
      <c r="BJ76" s="149">
        <f>IF(BJ$4=0,$P76,IF(BJ$4&lt;4,$U76*(1+$C$137)^BJ$4,IF(BJ$4&gt;3,$Y76*(1+$C$137)^BJ$4)))</f>
        <v>1376.0043318776534</v>
      </c>
      <c r="BK76" s="149">
        <f>IF(BK$4=0,$P76,IF(BK$4&lt;4,$U76*(1+$C$137)^BK$4,IF(BK$4&gt;3,$Y76*(1+$C$137)^BK$4)))</f>
        <v>1410.4044401745944</v>
      </c>
      <c r="BL76" s="149">
        <f>IF(BL$4=0,$P76,IF(BL$4&lt;4,$U76*(1+$C$137)^BL$4,IF(BL$4&gt;3,$Y76*(1+$C$137)^BL$4)))</f>
        <v>1445.6645511789591</v>
      </c>
      <c r="BM76" s="149">
        <f>IF(BM$4=0,$P76,IF(BM$4&lt;4,$U76*(1+$C$137)^BM$4,IF(BM$4&gt;3,$Y76*(1+$C$137)^BM$4)))</f>
        <v>1481.8061649584331</v>
      </c>
      <c r="BN76" s="149">
        <f>IF(BN$4=0,$P76,IF(BN$4&lt;4,$U76*(1+$C$137)^BN$4,IF(BN$4&gt;3,$Y76*(1+$C$137)^BN$4)))</f>
        <v>1518.8513190823937</v>
      </c>
      <c r="BO76" s="149">
        <f>IF(BO$4=0,$P76,IF(BO$4&lt;4,$U76*(1+$C$137)^BO$4,IF(BO$4&gt;3,$Y76*(1+$C$137)^BO$4)))</f>
        <v>1556.8226020594536</v>
      </c>
      <c r="BP76" s="149">
        <f>IF(BP$4=0,$P76,IF(BP$4&lt;4,$U76*(1+$C$137)^BP$4,IF(BP$4&gt;3,$Y76*(1+$C$137)^BP$4)))</f>
        <v>1595.7431671109398</v>
      </c>
      <c r="BQ76" s="149">
        <f>IF(BQ$4=0,$P76,IF(BQ$4&lt;4,$U76*(1+$C$137)^BQ$4,IF(BQ$4&gt;3,$Y76*(1+$C$137)^BQ$4)))</f>
        <v>1635.6367462887129</v>
      </c>
      <c r="BR76" s="149">
        <f>IF(BR$4=0,$P76,IF(BR$4&lt;4,$U76*(1+$C$137)^BR$4,IF(BR$4&gt;3,$Y76*(1+$C$137)^BR$4)))</f>
        <v>1676.5276649459311</v>
      </c>
      <c r="BS76" s="149">
        <f>IF(BS$4=0,$P76,IF(BS$4&lt;4,$U76*(1+$C$137)^BS$4,IF(BS$4&gt;3,$Y76*(1+$C$137)^BS$4)))</f>
        <v>1718.440856569579</v>
      </c>
      <c r="BT76" s="1"/>
      <c r="BU76" s="14"/>
      <c r="BV76" s="93" t="str">
        <f t="shared" si="39"/>
        <v>Bat boxes</v>
      </c>
      <c r="BW76" s="14"/>
      <c r="BX76" s="93"/>
      <c r="BY76" s="14"/>
    </row>
    <row r="77" spans="1:77" ht="32" x14ac:dyDescent="0.15">
      <c r="A77" s="14"/>
      <c r="B77" s="1070"/>
      <c r="C77" s="145" t="s">
        <v>42</v>
      </c>
      <c r="D77" s="34" t="s">
        <v>42</v>
      </c>
      <c r="E77" s="32"/>
      <c r="F77" s="409"/>
      <c r="G77" s="409"/>
      <c r="H77" s="556">
        <v>20</v>
      </c>
      <c r="I77" s="247" t="s">
        <v>117</v>
      </c>
      <c r="J77" s="558" t="s">
        <v>117</v>
      </c>
      <c r="K77" s="155">
        <v>80</v>
      </c>
      <c r="L77" s="559">
        <f t="shared" si="41"/>
        <v>1600</v>
      </c>
      <c r="M77" s="565" t="s">
        <v>117</v>
      </c>
      <c r="N77" s="155">
        <v>40</v>
      </c>
      <c r="O77" s="559">
        <f t="shared" si="22"/>
        <v>800</v>
      </c>
      <c r="P77" s="146">
        <f t="shared" si="23"/>
        <v>2400</v>
      </c>
      <c r="Q77" s="561" t="s">
        <v>117</v>
      </c>
      <c r="R77" s="558" t="s">
        <v>117</v>
      </c>
      <c r="S77" s="562" t="s">
        <v>117</v>
      </c>
      <c r="T77" s="562" t="s">
        <v>117</v>
      </c>
      <c r="U77" s="31">
        <f t="shared" si="42"/>
        <v>0</v>
      </c>
      <c r="V77" s="28" t="s">
        <v>102</v>
      </c>
      <c r="W77" s="566">
        <v>0.2</v>
      </c>
      <c r="X77" s="564">
        <f t="shared" si="43"/>
        <v>2400</v>
      </c>
      <c r="Y77" s="33">
        <f>W77*X77</f>
        <v>480</v>
      </c>
      <c r="Z77" s="1"/>
      <c r="AA77" s="88">
        <f>NPV($C$136,AF77:BS77)+AE77</f>
        <v>10050.643128206531</v>
      </c>
      <c r="AB77" s="74"/>
      <c r="AC77" s="392"/>
      <c r="AD77" s="392"/>
      <c r="AE77" s="149">
        <f>IF(AE$4=0,$P77,IF(AE$4&lt;4,$U77*(1+$C$137)^AE$4,IF(AE$4&gt;3,$Y77*(1+$C$137)^AE$4)))</f>
        <v>2400</v>
      </c>
      <c r="AF77" s="149">
        <f>IF(AF$4=0,$P77,IF(AF$4&lt;4,$U77*(1+$C$137)^AF$4,IF(AF$4&gt;3,$Y77*(1+$C$137)^AF$4)))</f>
        <v>0</v>
      </c>
      <c r="AG77" s="149">
        <f>IF(AG$4=0,$P77,IF(AG$4&lt;4,$U77*(1+$C$137)^AG$4,IF(AG$4&gt;3,$Y77*(1+$C$137)^AG$4)))</f>
        <v>0</v>
      </c>
      <c r="AH77" s="149">
        <f>IF(AH$4=0,$P77,IF(AH$4&lt;4,$U77*(1+$C$137)^AH$4,IF(AH$4&gt;3,$Y77*(1+$C$137)^AH$4)))</f>
        <v>0</v>
      </c>
      <c r="AI77" s="149">
        <f>IF(AI$4=0,$P77,IF(AI$4&lt;4,$U77*(1+$C$137)^AI$4,IF(AI$4&gt;3,$Y77*(1+$C$137)^AI$4)))</f>
        <v>529.83018749999985</v>
      </c>
      <c r="AJ77" s="149">
        <f>IF(AJ$4=0,$P77,IF(AJ$4&lt;4,$U77*(1+$C$137)^AJ$4,IF(AJ$4&gt;3,$Y77*(1+$C$137)^AJ$4)))</f>
        <v>543.07594218749978</v>
      </c>
      <c r="AK77" s="149">
        <f>IF(AK$4=0,$P77,IF(AK$4&lt;4,$U77*(1+$C$137)^AK$4,IF(AK$4&gt;3,$Y77*(1+$C$137)^AK$4)))</f>
        <v>556.65284074218732</v>
      </c>
      <c r="AL77" s="149">
        <f>IF(AL$4=0,$P77,IF(AL$4&lt;4,$U77*(1+$C$137)^AL$4,IF(AL$4&gt;3,$Y77*(1+$C$137)^AL$4)))</f>
        <v>570.56916176074196</v>
      </c>
      <c r="AM77" s="149">
        <f>IF(AM$4=0,$P77,IF(AM$4&lt;4,$U77*(1+$C$137)^AM$4,IF(AM$4&gt;3,$Y77*(1+$C$137)^AM$4)))</f>
        <v>584.83339080476048</v>
      </c>
      <c r="AN77" s="149">
        <f>IF(AN$4=0,$P77,IF(AN$4&lt;4,$U77*(1+$C$137)^AN$4,IF(AN$4&gt;3,$Y77*(1+$C$137)^AN$4)))</f>
        <v>599.45422557487939</v>
      </c>
      <c r="AO77" s="149">
        <f>IF(AO$4=0,$P77,IF(AO$4&lt;4,$U77*(1+$C$137)^AO$4,IF(AO$4&gt;3,$Y77*(1+$C$137)^AO$4)))</f>
        <v>614.44058121425144</v>
      </c>
      <c r="AP77" s="149">
        <f>IF(AP$4=0,$P77,IF(AP$4&lt;4,$U77*(1+$C$137)^AP$4,IF(AP$4&gt;3,$Y77*(1+$C$137)^AP$4)))</f>
        <v>629.80159574460765</v>
      </c>
      <c r="AQ77" s="149">
        <f>IF(AQ$4=0,$P77,IF(AQ$4&lt;4,$U77*(1+$C$137)^AQ$4,IF(AQ$4&gt;3,$Y77*(1+$C$137)^AQ$4)))</f>
        <v>645.54663563822282</v>
      </c>
      <c r="AR77" s="149">
        <f>IF(AR$4=0,$P77,IF(AR$4&lt;4,$U77*(1+$C$137)^AR$4,IF(AR$4&gt;3,$Y77*(1+$C$137)^AR$4)))</f>
        <v>661.68530152917833</v>
      </c>
      <c r="AS77" s="149">
        <f>IF(AS$4=0,$P77,IF(AS$4&lt;4,$U77*(1+$C$137)^AS$4,IF(AS$4&gt;3,$Y77*(1+$C$137)^AS$4)))</f>
        <v>678.22743406740778</v>
      </c>
      <c r="AT77" s="149">
        <f>IF(AT$4=0,$P77,IF(AT$4&lt;4,$U77*(1+$C$137)^AT$4,IF(AT$4&gt;3,$Y77*(1+$C$137)^AT$4)))</f>
        <v>695.18311991909309</v>
      </c>
      <c r="AU77" s="149">
        <f>IF(AU$4=0,$P77,IF(AU$4&lt;4,$U77*(1+$C$137)^AU$4,IF(AU$4&gt;3,$Y77*(1+$C$137)^AU$4)))</f>
        <v>712.5626979170703</v>
      </c>
      <c r="AV77" s="149">
        <f>IF(AV$4=0,$P77,IF(AV$4&lt;4,$U77*(1+$C$137)^AV$4,IF(AV$4&gt;3,$Y77*(1+$C$137)^AV$4)))</f>
        <v>730.37676536499691</v>
      </c>
      <c r="AW77" s="149">
        <f>IF(AW$4=0,$P77,IF(AW$4&lt;4,$U77*(1+$C$137)^AW$4,IF(AW$4&gt;3,$Y77*(1+$C$137)^AW$4)))</f>
        <v>748.6361844991219</v>
      </c>
      <c r="AX77" s="149">
        <f>IF(AX$4=0,$P77,IF(AX$4&lt;4,$U77*(1+$C$137)^AX$4,IF(AX$4&gt;3,$Y77*(1+$C$137)^AX$4)))</f>
        <v>767.35208911159998</v>
      </c>
      <c r="AY77" s="149">
        <f>IF(AY$4=0,$P77,IF(AY$4&lt;4,$U77*(1+$C$137)^AY$4,IF(AY$4&gt;3,$Y77*(1+$C$137)^AY$4)))</f>
        <v>786.53589133938988</v>
      </c>
      <c r="AZ77" s="149">
        <f>IF(AZ$4=0,$P77,IF(AZ$4&lt;4,$U77*(1+$C$137)^AZ$4,IF(AZ$4&gt;3,$Y77*(1+$C$137)^AZ$4)))</f>
        <v>806.19928862287452</v>
      </c>
      <c r="BA77" s="149">
        <f>IF(BA$4=0,$P77,IF(BA$4&lt;4,$U77*(1+$C$137)^BA$4,IF(BA$4&gt;3,$Y77*(1+$C$137)^BA$4)))</f>
        <v>826.35427083844638</v>
      </c>
      <c r="BB77" s="149">
        <f>IF(BB$4=0,$P77,IF(BB$4&lt;4,$U77*(1+$C$137)^BB$4,IF(BB$4&gt;3,$Y77*(1+$C$137)^BB$4)))</f>
        <v>847.01312760940755</v>
      </c>
      <c r="BC77" s="149">
        <f>IF(BC$4=0,$P77,IF(BC$4&lt;4,$U77*(1+$C$137)^BC$4,IF(BC$4&gt;3,$Y77*(1+$C$137)^BC$4)))</f>
        <v>868.18845579964272</v>
      </c>
      <c r="BD77" s="149">
        <f>IF(BD$4=0,$P77,IF(BD$4&lt;4,$U77*(1+$C$137)^BD$4,IF(BD$4&gt;3,$Y77*(1+$C$137)^BD$4)))</f>
        <v>889.89316719463363</v>
      </c>
      <c r="BE77" s="149">
        <f>IF(BE$4=0,$P77,IF(BE$4&lt;4,$U77*(1+$C$137)^BE$4,IF(BE$4&gt;3,$Y77*(1+$C$137)^BE$4)))</f>
        <v>912.14049637449943</v>
      </c>
      <c r="BF77" s="149">
        <f>IF(BF$4=0,$P77,IF(BF$4&lt;4,$U77*(1+$C$137)^BF$4,IF(BF$4&gt;3,$Y77*(1+$C$137)^BF$4)))</f>
        <v>934.94400878386182</v>
      </c>
      <c r="BG77" s="149">
        <f>IF(BG$4=0,$P77,IF(BG$4&lt;4,$U77*(1+$C$137)^BG$4,IF(BG$4&gt;3,$Y77*(1+$C$137)^BG$4)))</f>
        <v>958.3176090034583</v>
      </c>
      <c r="BH77" s="149">
        <f>IF(BH$4=0,$P77,IF(BH$4&lt;4,$U77*(1+$C$137)^BH$4,IF(BH$4&gt;3,$Y77*(1+$C$137)^BH$4)))</f>
        <v>982.27554922854483</v>
      </c>
      <c r="BI77" s="149">
        <f>IF(BI$4=0,$P77,IF(BI$4&lt;4,$U77*(1+$C$137)^BI$4,IF(BI$4&gt;3,$Y77*(1+$C$137)^BI$4)))</f>
        <v>1006.8324379592583</v>
      </c>
      <c r="BJ77" s="149">
        <f>IF(BJ$4=0,$P77,IF(BJ$4&lt;4,$U77*(1+$C$137)^BJ$4,IF(BJ$4&gt;3,$Y77*(1+$C$137)^BJ$4)))</f>
        <v>1032.00324890824</v>
      </c>
      <c r="BK77" s="149">
        <f>IF(BK$4=0,$P77,IF(BK$4&lt;4,$U77*(1+$C$137)^BK$4,IF(BK$4&gt;3,$Y77*(1+$C$137)^BK$4)))</f>
        <v>1057.8033301309458</v>
      </c>
      <c r="BL77" s="149">
        <f>IF(BL$4=0,$P77,IF(BL$4&lt;4,$U77*(1+$C$137)^BL$4,IF(BL$4&gt;3,$Y77*(1+$C$137)^BL$4)))</f>
        <v>1084.2484133842192</v>
      </c>
      <c r="BM77" s="149">
        <f>IF(BM$4=0,$P77,IF(BM$4&lt;4,$U77*(1+$C$137)^BM$4,IF(BM$4&gt;3,$Y77*(1+$C$137)^BM$4)))</f>
        <v>1111.3546237188248</v>
      </c>
      <c r="BN77" s="149">
        <f>IF(BN$4=0,$P77,IF(BN$4&lt;4,$U77*(1+$C$137)^BN$4,IF(BN$4&gt;3,$Y77*(1+$C$137)^BN$4)))</f>
        <v>1139.1384893117952</v>
      </c>
      <c r="BO77" s="149">
        <f>IF(BO$4=0,$P77,IF(BO$4&lt;4,$U77*(1+$C$137)^BO$4,IF(BO$4&gt;3,$Y77*(1+$C$137)^BO$4)))</f>
        <v>1167.6169515445902</v>
      </c>
      <c r="BP77" s="149">
        <f>IF(BP$4=0,$P77,IF(BP$4&lt;4,$U77*(1+$C$137)^BP$4,IF(BP$4&gt;3,$Y77*(1+$C$137)^BP$4)))</f>
        <v>1196.8073753332048</v>
      </c>
      <c r="BQ77" s="149">
        <f>IF(BQ$4=0,$P77,IF(BQ$4&lt;4,$U77*(1+$C$137)^BQ$4,IF(BQ$4&gt;3,$Y77*(1+$C$137)^BQ$4)))</f>
        <v>1226.7275597165346</v>
      </c>
      <c r="BR77" s="149">
        <f>IF(BR$4=0,$P77,IF(BR$4&lt;4,$U77*(1+$C$137)^BR$4,IF(BR$4&gt;3,$Y77*(1+$C$137)^BR$4)))</f>
        <v>1257.3957487094483</v>
      </c>
      <c r="BS77" s="149">
        <f>IF(BS$4=0,$P77,IF(BS$4&lt;4,$U77*(1+$C$137)^BS$4,IF(BS$4&gt;3,$Y77*(1+$C$137)^BS$4)))</f>
        <v>1288.8306424271843</v>
      </c>
      <c r="BT77" s="1"/>
      <c r="BU77" s="14"/>
      <c r="BV77" s="93" t="str">
        <f t="shared" si="39"/>
        <v>Bird boxes</v>
      </c>
      <c r="BW77" s="14"/>
      <c r="BX77" s="93"/>
      <c r="BY77" s="14"/>
    </row>
    <row r="78" spans="1:77" ht="32" x14ac:dyDescent="0.15">
      <c r="A78" s="14"/>
      <c r="B78" s="1070"/>
      <c r="C78" s="145" t="s">
        <v>44</v>
      </c>
      <c r="D78" s="34" t="s">
        <v>139</v>
      </c>
      <c r="E78" s="32"/>
      <c r="F78" s="409"/>
      <c r="G78" s="409"/>
      <c r="H78" s="567"/>
      <c r="I78" s="247" t="s">
        <v>117</v>
      </c>
      <c r="J78" s="558" t="s">
        <v>117</v>
      </c>
      <c r="K78" s="155"/>
      <c r="L78" s="559">
        <f t="shared" si="41"/>
        <v>0</v>
      </c>
      <c r="M78" s="565" t="s">
        <v>117</v>
      </c>
      <c r="N78" s="155"/>
      <c r="O78" s="559">
        <f t="shared" si="22"/>
        <v>0</v>
      </c>
      <c r="P78" s="146">
        <f t="shared" si="23"/>
        <v>0</v>
      </c>
      <c r="Q78" s="561" t="s">
        <v>117</v>
      </c>
      <c r="R78" s="558" t="s">
        <v>117</v>
      </c>
      <c r="S78" s="562" t="s">
        <v>117</v>
      </c>
      <c r="T78" s="562" t="s">
        <v>117</v>
      </c>
      <c r="U78" s="31">
        <f t="shared" si="42"/>
        <v>0</v>
      </c>
      <c r="V78" s="32"/>
      <c r="W78" s="563"/>
      <c r="X78" s="564"/>
      <c r="Y78" s="33">
        <f t="shared" ref="Y78:Y79" si="44">(F78+G78+H78)*W78*X78</f>
        <v>0</v>
      </c>
      <c r="Z78" s="1"/>
      <c r="AA78" s="88">
        <f>NPV($C$136,AF78:BS78)+AE78</f>
        <v>0</v>
      </c>
      <c r="AB78" s="74"/>
      <c r="AC78" s="392"/>
      <c r="AD78" s="392"/>
      <c r="AE78" s="149">
        <f>IF(AE$4=0,$P78,IF(AE$4&lt;4,$U78*(1+$C$137)^AE$4,IF(AE$4&gt;3,$Y78*(1+$C$137)^AE$4)))</f>
        <v>0</v>
      </c>
      <c r="AF78" s="149">
        <f>IF(AF$4=0,$P78,IF(AF$4&lt;4,$U78*(1+$C$137)^AF$4,IF(AF$4&gt;3,$Y78*(1+$C$137)^AF$4)))</f>
        <v>0</v>
      </c>
      <c r="AG78" s="149">
        <f>IF(AG$4=0,$P78,IF(AG$4&lt;4,$U78*(1+$C$137)^AG$4,IF(AG$4&gt;3,$Y78*(1+$C$137)^AG$4)))</f>
        <v>0</v>
      </c>
      <c r="AH78" s="149">
        <f>IF(AH$4=0,$P78,IF(AH$4&lt;4,$U78*(1+$C$137)^AH$4,IF(AH$4&gt;3,$Y78*(1+$C$137)^AH$4)))</f>
        <v>0</v>
      </c>
      <c r="AI78" s="149">
        <f>IF(AI$4=0,$P78,IF(AI$4&lt;4,$U78*(1+$C$137)^AI$4,IF(AI$4&gt;3,$Y78*(1+$C$137)^AI$4)))</f>
        <v>0</v>
      </c>
      <c r="AJ78" s="149">
        <f>IF(AJ$4=0,$P78,IF(AJ$4&lt;4,$U78*(1+$C$137)^AJ$4,IF(AJ$4&gt;3,$Y78*(1+$C$137)^AJ$4)))</f>
        <v>0</v>
      </c>
      <c r="AK78" s="149">
        <f>IF(AK$4=0,$P78,IF(AK$4&lt;4,$U78*(1+$C$137)^AK$4,IF(AK$4&gt;3,$Y78*(1+$C$137)^AK$4)))</f>
        <v>0</v>
      </c>
      <c r="AL78" s="149">
        <f>IF(AL$4=0,$P78,IF(AL$4&lt;4,$U78*(1+$C$137)^AL$4,IF(AL$4&gt;3,$Y78*(1+$C$137)^AL$4)))</f>
        <v>0</v>
      </c>
      <c r="AM78" s="149">
        <f>IF(AM$4=0,$P78,IF(AM$4&lt;4,$U78*(1+$C$137)^AM$4,IF(AM$4&gt;3,$Y78*(1+$C$137)^AM$4)))</f>
        <v>0</v>
      </c>
      <c r="AN78" s="149">
        <f>IF(AN$4=0,$P78,IF(AN$4&lt;4,$U78*(1+$C$137)^AN$4,IF(AN$4&gt;3,$Y78*(1+$C$137)^AN$4)))</f>
        <v>0</v>
      </c>
      <c r="AO78" s="149">
        <f>IF(AO$4=0,$P78,IF(AO$4&lt;4,$U78*(1+$C$137)^AO$4,IF(AO$4&gt;3,$Y78*(1+$C$137)^AO$4)))</f>
        <v>0</v>
      </c>
      <c r="AP78" s="149">
        <f>IF(AP$4=0,$P78,IF(AP$4&lt;4,$U78*(1+$C$137)^AP$4,IF(AP$4&gt;3,$Y78*(1+$C$137)^AP$4)))</f>
        <v>0</v>
      </c>
      <c r="AQ78" s="149">
        <f>IF(AQ$4=0,$P78,IF(AQ$4&lt;4,$U78*(1+$C$137)^AQ$4,IF(AQ$4&gt;3,$Y78*(1+$C$137)^AQ$4)))</f>
        <v>0</v>
      </c>
      <c r="AR78" s="149">
        <f>IF(AR$4=0,$P78,IF(AR$4&lt;4,$U78*(1+$C$137)^AR$4,IF(AR$4&gt;3,$Y78*(1+$C$137)^AR$4)))</f>
        <v>0</v>
      </c>
      <c r="AS78" s="149">
        <f>IF(AS$4=0,$P78,IF(AS$4&lt;4,$U78*(1+$C$137)^AS$4,IF(AS$4&gt;3,$Y78*(1+$C$137)^AS$4)))</f>
        <v>0</v>
      </c>
      <c r="AT78" s="149">
        <f>IF(AT$4=0,$P78,IF(AT$4&lt;4,$U78*(1+$C$137)^AT$4,IF(AT$4&gt;3,$Y78*(1+$C$137)^AT$4)))</f>
        <v>0</v>
      </c>
      <c r="AU78" s="149">
        <f>IF(AU$4=0,$P78,IF(AU$4&lt;4,$U78*(1+$C$137)^AU$4,IF(AU$4&gt;3,$Y78*(1+$C$137)^AU$4)))</f>
        <v>0</v>
      </c>
      <c r="AV78" s="149">
        <f>IF(AV$4=0,$P78,IF(AV$4&lt;4,$U78*(1+$C$137)^AV$4,IF(AV$4&gt;3,$Y78*(1+$C$137)^AV$4)))</f>
        <v>0</v>
      </c>
      <c r="AW78" s="149">
        <f>IF(AW$4=0,$P78,IF(AW$4&lt;4,$U78*(1+$C$137)^AW$4,IF(AW$4&gt;3,$Y78*(1+$C$137)^AW$4)))</f>
        <v>0</v>
      </c>
      <c r="AX78" s="149">
        <f>IF(AX$4=0,$P78,IF(AX$4&lt;4,$U78*(1+$C$137)^AX$4,IF(AX$4&gt;3,$Y78*(1+$C$137)^AX$4)))</f>
        <v>0</v>
      </c>
      <c r="AY78" s="149">
        <f>IF(AY$4=0,$P78,IF(AY$4&lt;4,$U78*(1+$C$137)^AY$4,IF(AY$4&gt;3,$Y78*(1+$C$137)^AY$4)))</f>
        <v>0</v>
      </c>
      <c r="AZ78" s="149">
        <f>IF(AZ$4=0,$P78,IF(AZ$4&lt;4,$U78*(1+$C$137)^AZ$4,IF(AZ$4&gt;3,$Y78*(1+$C$137)^AZ$4)))</f>
        <v>0</v>
      </c>
      <c r="BA78" s="149">
        <f>IF(BA$4=0,$P78,IF(BA$4&lt;4,$U78*(1+$C$137)^BA$4,IF(BA$4&gt;3,$Y78*(1+$C$137)^BA$4)))</f>
        <v>0</v>
      </c>
      <c r="BB78" s="149">
        <f>IF(BB$4=0,$P78,IF(BB$4&lt;4,$U78*(1+$C$137)^BB$4,IF(BB$4&gt;3,$Y78*(1+$C$137)^BB$4)))</f>
        <v>0</v>
      </c>
      <c r="BC78" s="149">
        <f>IF(BC$4=0,$P78,IF(BC$4&lt;4,$U78*(1+$C$137)^BC$4,IF(BC$4&gt;3,$Y78*(1+$C$137)^BC$4)))</f>
        <v>0</v>
      </c>
      <c r="BD78" s="149">
        <f>IF(BD$4=0,$P78,IF(BD$4&lt;4,$U78*(1+$C$137)^BD$4,IF(BD$4&gt;3,$Y78*(1+$C$137)^BD$4)))</f>
        <v>0</v>
      </c>
      <c r="BE78" s="149">
        <f>IF(BE$4=0,$P78,IF(BE$4&lt;4,$U78*(1+$C$137)^BE$4,IF(BE$4&gt;3,$Y78*(1+$C$137)^BE$4)))</f>
        <v>0</v>
      </c>
      <c r="BF78" s="149">
        <f>IF(BF$4=0,$P78,IF(BF$4&lt;4,$U78*(1+$C$137)^BF$4,IF(BF$4&gt;3,$Y78*(1+$C$137)^BF$4)))</f>
        <v>0</v>
      </c>
      <c r="BG78" s="149">
        <f>IF(BG$4=0,$P78,IF(BG$4&lt;4,$U78*(1+$C$137)^BG$4,IF(BG$4&gt;3,$Y78*(1+$C$137)^BG$4)))</f>
        <v>0</v>
      </c>
      <c r="BH78" s="149">
        <f>IF(BH$4=0,$P78,IF(BH$4&lt;4,$U78*(1+$C$137)^BH$4,IF(BH$4&gt;3,$Y78*(1+$C$137)^BH$4)))</f>
        <v>0</v>
      </c>
      <c r="BI78" s="149">
        <f>IF(BI$4=0,$P78,IF(BI$4&lt;4,$U78*(1+$C$137)^BI$4,IF(BI$4&gt;3,$Y78*(1+$C$137)^BI$4)))</f>
        <v>0</v>
      </c>
      <c r="BJ78" s="149">
        <f>IF(BJ$4=0,$P78,IF(BJ$4&lt;4,$U78*(1+$C$137)^BJ$4,IF(BJ$4&gt;3,$Y78*(1+$C$137)^BJ$4)))</f>
        <v>0</v>
      </c>
      <c r="BK78" s="149">
        <f>IF(BK$4=0,$P78,IF(BK$4&lt;4,$U78*(1+$C$137)^BK$4,IF(BK$4&gt;3,$Y78*(1+$C$137)^BK$4)))</f>
        <v>0</v>
      </c>
      <c r="BL78" s="149">
        <f>IF(BL$4=0,$P78,IF(BL$4&lt;4,$U78*(1+$C$137)^BL$4,IF(BL$4&gt;3,$Y78*(1+$C$137)^BL$4)))</f>
        <v>0</v>
      </c>
      <c r="BM78" s="149">
        <f>IF(BM$4=0,$P78,IF(BM$4&lt;4,$U78*(1+$C$137)^BM$4,IF(BM$4&gt;3,$Y78*(1+$C$137)^BM$4)))</f>
        <v>0</v>
      </c>
      <c r="BN78" s="149">
        <f>IF(BN$4=0,$P78,IF(BN$4&lt;4,$U78*(1+$C$137)^BN$4,IF(BN$4&gt;3,$Y78*(1+$C$137)^BN$4)))</f>
        <v>0</v>
      </c>
      <c r="BO78" s="149">
        <f>IF(BO$4=0,$P78,IF(BO$4&lt;4,$U78*(1+$C$137)^BO$4,IF(BO$4&gt;3,$Y78*(1+$C$137)^BO$4)))</f>
        <v>0</v>
      </c>
      <c r="BP78" s="149">
        <f>IF(BP$4=0,$P78,IF(BP$4&lt;4,$U78*(1+$C$137)^BP$4,IF(BP$4&gt;3,$Y78*(1+$C$137)^BP$4)))</f>
        <v>0</v>
      </c>
      <c r="BQ78" s="149">
        <f>IF(BQ$4=0,$P78,IF(BQ$4&lt;4,$U78*(1+$C$137)^BQ$4,IF(BQ$4&gt;3,$Y78*(1+$C$137)^BQ$4)))</f>
        <v>0</v>
      </c>
      <c r="BR78" s="149">
        <f>IF(BR$4=0,$P78,IF(BR$4&lt;4,$U78*(1+$C$137)^BR$4,IF(BR$4&gt;3,$Y78*(1+$C$137)^BR$4)))</f>
        <v>0</v>
      </c>
      <c r="BS78" s="149">
        <f>IF(BS$4=0,$P78,IF(BS$4&lt;4,$U78*(1+$C$137)^BS$4,IF(BS$4&gt;3,$Y78*(1+$C$137)^BS$4)))</f>
        <v>0</v>
      </c>
      <c r="BT78" s="1"/>
      <c r="BU78" s="14"/>
      <c r="BV78" s="93" t="str">
        <f t="shared" si="39"/>
        <v>Bee hives</v>
      </c>
      <c r="BW78" s="14"/>
      <c r="BX78" s="93"/>
      <c r="BY78" s="14"/>
    </row>
    <row r="79" spans="1:77" ht="16" x14ac:dyDescent="0.15">
      <c r="A79" s="14"/>
      <c r="B79" s="1070"/>
      <c r="C79" s="145" t="s">
        <v>44</v>
      </c>
      <c r="D79" s="34" t="s">
        <v>140</v>
      </c>
      <c r="E79" s="32"/>
      <c r="F79" s="409"/>
      <c r="G79" s="409"/>
      <c r="H79" s="556">
        <v>2</v>
      </c>
      <c r="I79" s="247" t="s">
        <v>117</v>
      </c>
      <c r="J79" s="558" t="s">
        <v>117</v>
      </c>
      <c r="K79" s="155">
        <v>760</v>
      </c>
      <c r="L79" s="559">
        <f t="shared" si="41"/>
        <v>1520</v>
      </c>
      <c r="M79" s="565" t="s">
        <v>117</v>
      </c>
      <c r="N79" s="155">
        <v>0</v>
      </c>
      <c r="O79" s="559">
        <f t="shared" si="22"/>
        <v>0</v>
      </c>
      <c r="P79" s="146">
        <f t="shared" si="23"/>
        <v>1520</v>
      </c>
      <c r="Q79" s="561" t="s">
        <v>117</v>
      </c>
      <c r="R79" s="558" t="s">
        <v>117</v>
      </c>
      <c r="S79" s="562" t="s">
        <v>117</v>
      </c>
      <c r="T79" s="562" t="s">
        <v>117</v>
      </c>
      <c r="U79" s="31">
        <f t="shared" si="42"/>
        <v>0</v>
      </c>
      <c r="V79" s="32"/>
      <c r="W79" s="563"/>
      <c r="X79" s="564"/>
      <c r="Y79" s="33">
        <f t="shared" si="44"/>
        <v>0</v>
      </c>
      <c r="Z79" s="1"/>
      <c r="AA79" s="88">
        <f>NPV($C$136,AF79:BS79)+AE79</f>
        <v>1520</v>
      </c>
      <c r="AB79" s="74"/>
      <c r="AC79" s="392"/>
      <c r="AD79" s="392"/>
      <c r="AE79" s="149">
        <f>IF(AE$4=0,$P79,IF(AE$4&lt;4,$U79*(1+$C$137)^AE$4,IF(AE$4&gt;3,$Y79*(1+$C$137)^AE$4)))</f>
        <v>1520</v>
      </c>
      <c r="AF79" s="149">
        <f>IF(AF$4=0,$P79,IF(AF$4&lt;4,$U79*(1+$C$137)^AF$4,IF(AF$4&gt;3,$Y79*(1+$C$137)^AF$4)))</f>
        <v>0</v>
      </c>
      <c r="AG79" s="149">
        <f>IF(AG$4=0,$P79,IF(AG$4&lt;4,$U79*(1+$C$137)^AG$4,IF(AG$4&gt;3,$Y79*(1+$C$137)^AG$4)))</f>
        <v>0</v>
      </c>
      <c r="AH79" s="149">
        <f>IF(AH$4=0,$P79,IF(AH$4&lt;4,$U79*(1+$C$137)^AH$4,IF(AH$4&gt;3,$Y79*(1+$C$137)^AH$4)))</f>
        <v>0</v>
      </c>
      <c r="AI79" s="149">
        <f>IF(AI$4=0,$P79,IF(AI$4&lt;4,$U79*(1+$C$137)^AI$4,IF(AI$4&gt;3,$Y79*(1+$C$137)^AI$4)))</f>
        <v>0</v>
      </c>
      <c r="AJ79" s="149">
        <f>IF(AJ$4=0,$P79,IF(AJ$4&lt;4,$U79*(1+$C$137)^AJ$4,IF(AJ$4&gt;3,$Y79*(1+$C$137)^AJ$4)))</f>
        <v>0</v>
      </c>
      <c r="AK79" s="149">
        <f>IF(AK$4=0,$P79,IF(AK$4&lt;4,$U79*(1+$C$137)^AK$4,IF(AK$4&gt;3,$Y79*(1+$C$137)^AK$4)))</f>
        <v>0</v>
      </c>
      <c r="AL79" s="149">
        <f>IF(AL$4=0,$P79,IF(AL$4&lt;4,$U79*(1+$C$137)^AL$4,IF(AL$4&gt;3,$Y79*(1+$C$137)^AL$4)))</f>
        <v>0</v>
      </c>
      <c r="AM79" s="149">
        <f>IF(AM$4=0,$P79,IF(AM$4&lt;4,$U79*(1+$C$137)^AM$4,IF(AM$4&gt;3,$Y79*(1+$C$137)^AM$4)))</f>
        <v>0</v>
      </c>
      <c r="AN79" s="149">
        <f>IF(AN$4=0,$P79,IF(AN$4&lt;4,$U79*(1+$C$137)^AN$4,IF(AN$4&gt;3,$Y79*(1+$C$137)^AN$4)))</f>
        <v>0</v>
      </c>
      <c r="AO79" s="149">
        <f>IF(AO$4=0,$P79,IF(AO$4&lt;4,$U79*(1+$C$137)^AO$4,IF(AO$4&gt;3,$Y79*(1+$C$137)^AO$4)))</f>
        <v>0</v>
      </c>
      <c r="AP79" s="149">
        <f>IF(AP$4=0,$P79,IF(AP$4&lt;4,$U79*(1+$C$137)^AP$4,IF(AP$4&gt;3,$Y79*(1+$C$137)^AP$4)))</f>
        <v>0</v>
      </c>
      <c r="AQ79" s="149">
        <f>IF(AQ$4=0,$P79,IF(AQ$4&lt;4,$U79*(1+$C$137)^AQ$4,IF(AQ$4&gt;3,$Y79*(1+$C$137)^AQ$4)))</f>
        <v>0</v>
      </c>
      <c r="AR79" s="149">
        <f>IF(AR$4=0,$P79,IF(AR$4&lt;4,$U79*(1+$C$137)^AR$4,IF(AR$4&gt;3,$Y79*(1+$C$137)^AR$4)))</f>
        <v>0</v>
      </c>
      <c r="AS79" s="149">
        <f>IF(AS$4=0,$P79,IF(AS$4&lt;4,$U79*(1+$C$137)^AS$4,IF(AS$4&gt;3,$Y79*(1+$C$137)^AS$4)))</f>
        <v>0</v>
      </c>
      <c r="AT79" s="149">
        <f>IF(AT$4=0,$P79,IF(AT$4&lt;4,$U79*(1+$C$137)^AT$4,IF(AT$4&gt;3,$Y79*(1+$C$137)^AT$4)))</f>
        <v>0</v>
      </c>
      <c r="AU79" s="149">
        <f>IF(AU$4=0,$P79,IF(AU$4&lt;4,$U79*(1+$C$137)^AU$4,IF(AU$4&gt;3,$Y79*(1+$C$137)^AU$4)))</f>
        <v>0</v>
      </c>
      <c r="AV79" s="149">
        <f>IF(AV$4=0,$P79,IF(AV$4&lt;4,$U79*(1+$C$137)^AV$4,IF(AV$4&gt;3,$Y79*(1+$C$137)^AV$4)))</f>
        <v>0</v>
      </c>
      <c r="AW79" s="149">
        <f>IF(AW$4=0,$P79,IF(AW$4&lt;4,$U79*(1+$C$137)^AW$4,IF(AW$4&gt;3,$Y79*(1+$C$137)^AW$4)))</f>
        <v>0</v>
      </c>
      <c r="AX79" s="149">
        <f>IF(AX$4=0,$P79,IF(AX$4&lt;4,$U79*(1+$C$137)^AX$4,IF(AX$4&gt;3,$Y79*(1+$C$137)^AX$4)))</f>
        <v>0</v>
      </c>
      <c r="AY79" s="149">
        <f>IF(AY$4=0,$P79,IF(AY$4&lt;4,$U79*(1+$C$137)^AY$4,IF(AY$4&gt;3,$Y79*(1+$C$137)^AY$4)))</f>
        <v>0</v>
      </c>
      <c r="AZ79" s="149">
        <f>IF(AZ$4=0,$P79,IF(AZ$4&lt;4,$U79*(1+$C$137)^AZ$4,IF(AZ$4&gt;3,$Y79*(1+$C$137)^AZ$4)))</f>
        <v>0</v>
      </c>
      <c r="BA79" s="149">
        <f>IF(BA$4=0,$P79,IF(BA$4&lt;4,$U79*(1+$C$137)^BA$4,IF(BA$4&gt;3,$Y79*(1+$C$137)^BA$4)))</f>
        <v>0</v>
      </c>
      <c r="BB79" s="149">
        <f>IF(BB$4=0,$P79,IF(BB$4&lt;4,$U79*(1+$C$137)^BB$4,IF(BB$4&gt;3,$Y79*(1+$C$137)^BB$4)))</f>
        <v>0</v>
      </c>
      <c r="BC79" s="149">
        <f>IF(BC$4=0,$P79,IF(BC$4&lt;4,$U79*(1+$C$137)^BC$4,IF(BC$4&gt;3,$Y79*(1+$C$137)^BC$4)))</f>
        <v>0</v>
      </c>
      <c r="BD79" s="149">
        <f>IF(BD$4=0,$P79,IF(BD$4&lt;4,$U79*(1+$C$137)^BD$4,IF(BD$4&gt;3,$Y79*(1+$C$137)^BD$4)))</f>
        <v>0</v>
      </c>
      <c r="BE79" s="149">
        <f>IF(BE$4=0,$P79,IF(BE$4&lt;4,$U79*(1+$C$137)^BE$4,IF(BE$4&gt;3,$Y79*(1+$C$137)^BE$4)))</f>
        <v>0</v>
      </c>
      <c r="BF79" s="149">
        <f>IF(BF$4=0,$P79,IF(BF$4&lt;4,$U79*(1+$C$137)^BF$4,IF(BF$4&gt;3,$Y79*(1+$C$137)^BF$4)))</f>
        <v>0</v>
      </c>
      <c r="BG79" s="149">
        <f>IF(BG$4=0,$P79,IF(BG$4&lt;4,$U79*(1+$C$137)^BG$4,IF(BG$4&gt;3,$Y79*(1+$C$137)^BG$4)))</f>
        <v>0</v>
      </c>
      <c r="BH79" s="149">
        <f>IF(BH$4=0,$P79,IF(BH$4&lt;4,$U79*(1+$C$137)^BH$4,IF(BH$4&gt;3,$Y79*(1+$C$137)^BH$4)))</f>
        <v>0</v>
      </c>
      <c r="BI79" s="149">
        <f>IF(BI$4=0,$P79,IF(BI$4&lt;4,$U79*(1+$C$137)^BI$4,IF(BI$4&gt;3,$Y79*(1+$C$137)^BI$4)))</f>
        <v>0</v>
      </c>
      <c r="BJ79" s="149">
        <f>IF(BJ$4=0,$P79,IF(BJ$4&lt;4,$U79*(1+$C$137)^BJ$4,IF(BJ$4&gt;3,$Y79*(1+$C$137)^BJ$4)))</f>
        <v>0</v>
      </c>
      <c r="BK79" s="149">
        <f>IF(BK$4=0,$P79,IF(BK$4&lt;4,$U79*(1+$C$137)^BK$4,IF(BK$4&gt;3,$Y79*(1+$C$137)^BK$4)))</f>
        <v>0</v>
      </c>
      <c r="BL79" s="149">
        <f>IF(BL$4=0,$P79,IF(BL$4&lt;4,$U79*(1+$C$137)^BL$4,IF(BL$4&gt;3,$Y79*(1+$C$137)^BL$4)))</f>
        <v>0</v>
      </c>
      <c r="BM79" s="149">
        <f>IF(BM$4=0,$P79,IF(BM$4&lt;4,$U79*(1+$C$137)^BM$4,IF(BM$4&gt;3,$Y79*(1+$C$137)^BM$4)))</f>
        <v>0</v>
      </c>
      <c r="BN79" s="149">
        <f>IF(BN$4=0,$P79,IF(BN$4&lt;4,$U79*(1+$C$137)^BN$4,IF(BN$4&gt;3,$Y79*(1+$C$137)^BN$4)))</f>
        <v>0</v>
      </c>
      <c r="BO79" s="149">
        <f>IF(BO$4=0,$P79,IF(BO$4&lt;4,$U79*(1+$C$137)^BO$4,IF(BO$4&gt;3,$Y79*(1+$C$137)^BO$4)))</f>
        <v>0</v>
      </c>
      <c r="BP79" s="149">
        <f>IF(BP$4=0,$P79,IF(BP$4&lt;4,$U79*(1+$C$137)^BP$4,IF(BP$4&gt;3,$Y79*(1+$C$137)^BP$4)))</f>
        <v>0</v>
      </c>
      <c r="BQ79" s="149">
        <f>IF(BQ$4=0,$P79,IF(BQ$4&lt;4,$U79*(1+$C$137)^BQ$4,IF(BQ$4&gt;3,$Y79*(1+$C$137)^BQ$4)))</f>
        <v>0</v>
      </c>
      <c r="BR79" s="149">
        <f>IF(BR$4=0,$P79,IF(BR$4&lt;4,$U79*(1+$C$137)^BR$4,IF(BR$4&gt;3,$Y79*(1+$C$137)^BR$4)))</f>
        <v>0</v>
      </c>
      <c r="BS79" s="149">
        <f>IF(BS$4=0,$P79,IF(BS$4&lt;4,$U79*(1+$C$137)^BS$4,IF(BS$4&gt;3,$Y79*(1+$C$137)^BS$4)))</f>
        <v>0</v>
      </c>
      <c r="BT79" s="1"/>
      <c r="BU79" s="14"/>
      <c r="BV79" s="93" t="str">
        <f t="shared" si="39"/>
        <v>Bee hives</v>
      </c>
      <c r="BW79" s="14"/>
      <c r="BX79" s="93"/>
      <c r="BY79" s="14"/>
    </row>
    <row r="80" spans="1:77" ht="32" x14ac:dyDescent="0.15">
      <c r="A80" s="14"/>
      <c r="B80" s="1070"/>
      <c r="C80" s="145" t="s">
        <v>45</v>
      </c>
      <c r="D80" s="34" t="s">
        <v>45</v>
      </c>
      <c r="E80" s="32"/>
      <c r="F80" s="409"/>
      <c r="G80" s="409"/>
      <c r="H80" s="556">
        <v>20</v>
      </c>
      <c r="I80" s="247" t="s">
        <v>117</v>
      </c>
      <c r="J80" s="558" t="s">
        <v>117</v>
      </c>
      <c r="K80" s="155">
        <v>50</v>
      </c>
      <c r="L80" s="559">
        <f t="shared" si="41"/>
        <v>1000</v>
      </c>
      <c r="M80" s="565" t="s">
        <v>117</v>
      </c>
      <c r="N80" s="155">
        <v>40</v>
      </c>
      <c r="O80" s="559">
        <f t="shared" si="22"/>
        <v>800</v>
      </c>
      <c r="P80" s="146">
        <f t="shared" si="23"/>
        <v>1800</v>
      </c>
      <c r="Q80" s="561" t="s">
        <v>117</v>
      </c>
      <c r="R80" s="558" t="s">
        <v>117</v>
      </c>
      <c r="S80" s="562" t="s">
        <v>117</v>
      </c>
      <c r="T80" s="562" t="s">
        <v>117</v>
      </c>
      <c r="U80" s="31">
        <f t="shared" si="42"/>
        <v>0</v>
      </c>
      <c r="V80" s="28" t="s">
        <v>102</v>
      </c>
      <c r="W80" s="566">
        <v>0.2</v>
      </c>
      <c r="X80" s="564">
        <f>P80</f>
        <v>1800</v>
      </c>
      <c r="Y80" s="33">
        <f>W80*X80</f>
        <v>360</v>
      </c>
      <c r="Z80" s="1"/>
      <c r="AA80" s="88">
        <f>NPV($C$136,AF80:BS80)+AE80</f>
        <v>7537.9823461548995</v>
      </c>
      <c r="AB80" s="74"/>
      <c r="AC80" s="392"/>
      <c r="AD80" s="392"/>
      <c r="AE80" s="149">
        <f>IF(AE$4=0,$P80,IF(AE$4&lt;4,$U80*(1+$C$137)^AE$4,IF(AE$4&gt;3,$Y80*(1+$C$137)^AE$4)))</f>
        <v>1800</v>
      </c>
      <c r="AF80" s="149">
        <f>IF(AF$4=0,$P80,IF(AF$4&lt;4,$U80*(1+$C$137)^AF$4,IF(AF$4&gt;3,$Y80*(1+$C$137)^AF$4)))</f>
        <v>0</v>
      </c>
      <c r="AG80" s="149">
        <f>IF(AG$4=0,$P80,IF(AG$4&lt;4,$U80*(1+$C$137)^AG$4,IF(AG$4&gt;3,$Y80*(1+$C$137)^AG$4)))</f>
        <v>0</v>
      </c>
      <c r="AH80" s="149">
        <f>IF(AH$4=0,$P80,IF(AH$4&lt;4,$U80*(1+$C$137)^AH$4,IF(AH$4&gt;3,$Y80*(1+$C$137)^AH$4)))</f>
        <v>0</v>
      </c>
      <c r="AI80" s="149">
        <f>IF(AI$4=0,$P80,IF(AI$4&lt;4,$U80*(1+$C$137)^AI$4,IF(AI$4&gt;3,$Y80*(1+$C$137)^AI$4)))</f>
        <v>397.37264062499992</v>
      </c>
      <c r="AJ80" s="149">
        <f>IF(AJ$4=0,$P80,IF(AJ$4&lt;4,$U80*(1+$C$137)^AJ$4,IF(AJ$4&gt;3,$Y80*(1+$C$137)^AJ$4)))</f>
        <v>407.30695664062489</v>
      </c>
      <c r="AK80" s="149">
        <f>IF(AK$4=0,$P80,IF(AK$4&lt;4,$U80*(1+$C$137)^AK$4,IF(AK$4&gt;3,$Y80*(1+$C$137)^AK$4)))</f>
        <v>417.48963055664046</v>
      </c>
      <c r="AL80" s="149">
        <f>IF(AL$4=0,$P80,IF(AL$4&lt;4,$U80*(1+$C$137)^AL$4,IF(AL$4&gt;3,$Y80*(1+$C$137)^AL$4)))</f>
        <v>427.92687132055647</v>
      </c>
      <c r="AM80" s="149">
        <f>IF(AM$4=0,$P80,IF(AM$4&lt;4,$U80*(1+$C$137)^AM$4,IF(AM$4&gt;3,$Y80*(1+$C$137)^AM$4)))</f>
        <v>438.62504310357036</v>
      </c>
      <c r="AN80" s="149">
        <f>IF(AN$4=0,$P80,IF(AN$4&lt;4,$U80*(1+$C$137)^AN$4,IF(AN$4&gt;3,$Y80*(1+$C$137)^AN$4)))</f>
        <v>449.59066918115957</v>
      </c>
      <c r="AO80" s="149">
        <f>IF(AO$4=0,$P80,IF(AO$4&lt;4,$U80*(1+$C$137)^AO$4,IF(AO$4&gt;3,$Y80*(1+$C$137)^AO$4)))</f>
        <v>460.83043591068855</v>
      </c>
      <c r="AP80" s="149">
        <f>IF(AP$4=0,$P80,IF(AP$4&lt;4,$U80*(1+$C$137)^AP$4,IF(AP$4&gt;3,$Y80*(1+$C$137)^AP$4)))</f>
        <v>472.35119680845577</v>
      </c>
      <c r="AQ80" s="149">
        <f>IF(AQ$4=0,$P80,IF(AQ$4&lt;4,$U80*(1+$C$137)^AQ$4,IF(AQ$4&gt;3,$Y80*(1+$C$137)^AQ$4)))</f>
        <v>484.15997672866712</v>
      </c>
      <c r="AR80" s="149">
        <f>IF(AR$4=0,$P80,IF(AR$4&lt;4,$U80*(1+$C$137)^AR$4,IF(AR$4&gt;3,$Y80*(1+$C$137)^AR$4)))</f>
        <v>496.26397614688375</v>
      </c>
      <c r="AS80" s="149">
        <f>IF(AS$4=0,$P80,IF(AS$4&lt;4,$U80*(1+$C$137)^AS$4,IF(AS$4&gt;3,$Y80*(1+$C$137)^AS$4)))</f>
        <v>508.67057555055578</v>
      </c>
      <c r="AT80" s="149">
        <f>IF(AT$4=0,$P80,IF(AT$4&lt;4,$U80*(1+$C$137)^AT$4,IF(AT$4&gt;3,$Y80*(1+$C$137)^AT$4)))</f>
        <v>521.38733993931976</v>
      </c>
      <c r="AU80" s="149">
        <f>IF(AU$4=0,$P80,IF(AU$4&lt;4,$U80*(1+$C$137)^AU$4,IF(AU$4&gt;3,$Y80*(1+$C$137)^AU$4)))</f>
        <v>534.42202343780275</v>
      </c>
      <c r="AV80" s="149">
        <f>IF(AV$4=0,$P80,IF(AV$4&lt;4,$U80*(1+$C$137)^AV$4,IF(AV$4&gt;3,$Y80*(1+$C$137)^AV$4)))</f>
        <v>547.78257402374777</v>
      </c>
      <c r="AW80" s="149">
        <f>IF(AW$4=0,$P80,IF(AW$4&lt;4,$U80*(1+$C$137)^AW$4,IF(AW$4&gt;3,$Y80*(1+$C$137)^AW$4)))</f>
        <v>561.47713837434139</v>
      </c>
      <c r="AX80" s="149">
        <f>IF(AX$4=0,$P80,IF(AX$4&lt;4,$U80*(1+$C$137)^AX$4,IF(AX$4&gt;3,$Y80*(1+$C$137)^AX$4)))</f>
        <v>575.51406683369999</v>
      </c>
      <c r="AY80" s="149">
        <f>IF(AY$4=0,$P80,IF(AY$4&lt;4,$U80*(1+$C$137)^AY$4,IF(AY$4&gt;3,$Y80*(1+$C$137)^AY$4)))</f>
        <v>589.90191850454244</v>
      </c>
      <c r="AZ80" s="149">
        <f>IF(AZ$4=0,$P80,IF(AZ$4&lt;4,$U80*(1+$C$137)^AZ$4,IF(AZ$4&gt;3,$Y80*(1+$C$137)^AZ$4)))</f>
        <v>604.64946646715589</v>
      </c>
      <c r="BA80" s="149">
        <f>IF(BA$4=0,$P80,IF(BA$4&lt;4,$U80*(1+$C$137)^BA$4,IF(BA$4&gt;3,$Y80*(1+$C$137)^BA$4)))</f>
        <v>619.76570312883473</v>
      </c>
      <c r="BB80" s="149">
        <f>IF(BB$4=0,$P80,IF(BB$4&lt;4,$U80*(1+$C$137)^BB$4,IF(BB$4&gt;3,$Y80*(1+$C$137)^BB$4)))</f>
        <v>635.25984570705566</v>
      </c>
      <c r="BC80" s="149">
        <f>IF(BC$4=0,$P80,IF(BC$4&lt;4,$U80*(1+$C$137)^BC$4,IF(BC$4&gt;3,$Y80*(1+$C$137)^BC$4)))</f>
        <v>651.14134184973204</v>
      </c>
      <c r="BD80" s="149">
        <f>IF(BD$4=0,$P80,IF(BD$4&lt;4,$U80*(1+$C$137)^BD$4,IF(BD$4&gt;3,$Y80*(1+$C$137)^BD$4)))</f>
        <v>667.41987539597517</v>
      </c>
      <c r="BE80" s="149">
        <f>IF(BE$4=0,$P80,IF(BE$4&lt;4,$U80*(1+$C$137)^BE$4,IF(BE$4&gt;3,$Y80*(1+$C$137)^BE$4)))</f>
        <v>684.10537228087458</v>
      </c>
      <c r="BF80" s="149">
        <f>IF(BF$4=0,$P80,IF(BF$4&lt;4,$U80*(1+$C$137)^BF$4,IF(BF$4&gt;3,$Y80*(1+$C$137)^BF$4)))</f>
        <v>701.20800658789642</v>
      </c>
      <c r="BG80" s="149">
        <f>IF(BG$4=0,$P80,IF(BG$4&lt;4,$U80*(1+$C$137)^BG$4,IF(BG$4&gt;3,$Y80*(1+$C$137)^BG$4)))</f>
        <v>718.73820675259378</v>
      </c>
      <c r="BH80" s="149">
        <f>IF(BH$4=0,$P80,IF(BH$4&lt;4,$U80*(1+$C$137)^BH$4,IF(BH$4&gt;3,$Y80*(1+$C$137)^BH$4)))</f>
        <v>736.70666192140868</v>
      </c>
      <c r="BI80" s="149">
        <f>IF(BI$4=0,$P80,IF(BI$4&lt;4,$U80*(1+$C$137)^BI$4,IF(BI$4&gt;3,$Y80*(1+$C$137)^BI$4)))</f>
        <v>755.12432846944364</v>
      </c>
      <c r="BJ80" s="149">
        <f>IF(BJ$4=0,$P80,IF(BJ$4&lt;4,$U80*(1+$C$137)^BJ$4,IF(BJ$4&gt;3,$Y80*(1+$C$137)^BJ$4)))</f>
        <v>774.00243668118003</v>
      </c>
      <c r="BK80" s="149">
        <f>IF(BK$4=0,$P80,IF(BK$4&lt;4,$U80*(1+$C$137)^BK$4,IF(BK$4&gt;3,$Y80*(1+$C$137)^BK$4)))</f>
        <v>793.35249759820931</v>
      </c>
      <c r="BL80" s="149">
        <f>IF(BL$4=0,$P80,IF(BL$4&lt;4,$U80*(1+$C$137)^BL$4,IF(BL$4&gt;3,$Y80*(1+$C$137)^BL$4)))</f>
        <v>813.18631003816449</v>
      </c>
      <c r="BM80" s="149">
        <f>IF(BM$4=0,$P80,IF(BM$4&lt;4,$U80*(1+$C$137)^BM$4,IF(BM$4&gt;3,$Y80*(1+$C$137)^BM$4)))</f>
        <v>833.51596778911858</v>
      </c>
      <c r="BN80" s="149">
        <f>IF(BN$4=0,$P80,IF(BN$4&lt;4,$U80*(1+$C$137)^BN$4,IF(BN$4&gt;3,$Y80*(1+$C$137)^BN$4)))</f>
        <v>854.3538669838465</v>
      </c>
      <c r="BO80" s="149">
        <f>IF(BO$4=0,$P80,IF(BO$4&lt;4,$U80*(1+$C$137)^BO$4,IF(BO$4&gt;3,$Y80*(1+$C$137)^BO$4)))</f>
        <v>875.71271365844268</v>
      </c>
      <c r="BP80" s="149">
        <f>IF(BP$4=0,$P80,IF(BP$4&lt;4,$U80*(1+$C$137)^BP$4,IF(BP$4&gt;3,$Y80*(1+$C$137)^BP$4)))</f>
        <v>897.60553149990369</v>
      </c>
      <c r="BQ80" s="149">
        <f>IF(BQ$4=0,$P80,IF(BQ$4&lt;4,$U80*(1+$C$137)^BQ$4,IF(BQ$4&gt;3,$Y80*(1+$C$137)^BQ$4)))</f>
        <v>920.04566978740104</v>
      </c>
      <c r="BR80" s="149">
        <f>IF(BR$4=0,$P80,IF(BR$4&lt;4,$U80*(1+$C$137)^BR$4,IF(BR$4&gt;3,$Y80*(1+$C$137)^BR$4)))</f>
        <v>943.04681153208617</v>
      </c>
      <c r="BS80" s="149">
        <f>IF(BS$4=0,$P80,IF(BS$4&lt;4,$U80*(1+$C$137)^BS$4,IF(BS$4&gt;3,$Y80*(1+$C$137)^BS$4)))</f>
        <v>966.62298182038819</v>
      </c>
      <c r="BT80" s="1"/>
      <c r="BU80" s="14"/>
      <c r="BV80" s="93" t="str">
        <f t="shared" si="39"/>
        <v>Solitary bee hotels</v>
      </c>
      <c r="BW80" s="14"/>
      <c r="BX80" s="93"/>
      <c r="BY80" s="14"/>
    </row>
    <row r="81" spans="1:77" ht="64" x14ac:dyDescent="0.15">
      <c r="A81" s="14"/>
      <c r="B81" s="1071"/>
      <c r="C81" s="147" t="s">
        <v>46</v>
      </c>
      <c r="D81" s="35" t="s">
        <v>103</v>
      </c>
      <c r="E81" s="42" t="s">
        <v>104</v>
      </c>
      <c r="F81" s="568"/>
      <c r="G81" s="568"/>
      <c r="H81" s="569">
        <v>2</v>
      </c>
      <c r="I81" s="249" t="s">
        <v>117</v>
      </c>
      <c r="J81" s="570" t="s">
        <v>117</v>
      </c>
      <c r="K81" s="571">
        <v>0</v>
      </c>
      <c r="L81" s="572">
        <f t="shared" si="41"/>
        <v>0</v>
      </c>
      <c r="M81" s="573" t="s">
        <v>117</v>
      </c>
      <c r="N81" s="571">
        <v>500</v>
      </c>
      <c r="O81" s="572">
        <f t="shared" si="22"/>
        <v>1000</v>
      </c>
      <c r="P81" s="148">
        <f t="shared" si="23"/>
        <v>1000</v>
      </c>
      <c r="Q81" s="574" t="s">
        <v>117</v>
      </c>
      <c r="R81" s="570" t="s">
        <v>117</v>
      </c>
      <c r="S81" s="575" t="s">
        <v>117</v>
      </c>
      <c r="T81" s="575" t="s">
        <v>117</v>
      </c>
      <c r="U81" s="41">
        <f t="shared" si="42"/>
        <v>0</v>
      </c>
      <c r="V81" s="249" t="s">
        <v>117</v>
      </c>
      <c r="W81" s="570" t="s">
        <v>117</v>
      </c>
      <c r="X81" s="576" t="s">
        <v>117</v>
      </c>
      <c r="Y81" s="43">
        <f t="shared" ref="Y81:Y82" si="45">IFERROR((F81+G81+H81)*W81*X81,0)</f>
        <v>0</v>
      </c>
      <c r="Z81" s="1"/>
      <c r="AA81" s="88">
        <f>NPV($C$136,AF81:BS81)+AE81</f>
        <v>1000</v>
      </c>
      <c r="AB81" s="74"/>
      <c r="AC81" s="392"/>
      <c r="AD81" s="392"/>
      <c r="AE81" s="149">
        <f>IF(AE$4=0,$P81,IF(AE$4&lt;4,$U81*(1+$C$137)^AE$4,IF(AE$4&gt;3,$Y81*(1+$C$137)^AE$4)))</f>
        <v>1000</v>
      </c>
      <c r="AF81" s="149">
        <f>IF(AF$4=0,$P81,IF(AF$4&lt;4,$U81*(1+$C$137)^AF$4,IF(AF$4&gt;3,$Y81*(1+$C$137)^AF$4)))</f>
        <v>0</v>
      </c>
      <c r="AG81" s="149">
        <f>IF(AG$4=0,$P81,IF(AG$4&lt;4,$U81*(1+$C$137)^AG$4,IF(AG$4&gt;3,$Y81*(1+$C$137)^AG$4)))</f>
        <v>0</v>
      </c>
      <c r="AH81" s="149">
        <f>IF(AH$4=0,$P81,IF(AH$4&lt;4,$U81*(1+$C$137)^AH$4,IF(AH$4&gt;3,$Y81*(1+$C$137)^AH$4)))</f>
        <v>0</v>
      </c>
      <c r="AI81" s="149">
        <f>IF(AI$4=0,$P81,IF(AI$4&lt;4,$U81*(1+$C$137)^AI$4,IF(AI$4&gt;3,$Y81*(1+$C$137)^AI$4)))</f>
        <v>0</v>
      </c>
      <c r="AJ81" s="149">
        <f>IF(AJ$4=0,$P81,IF(AJ$4&lt;4,$U81*(1+$C$137)^AJ$4,IF(AJ$4&gt;3,$Y81*(1+$C$137)^AJ$4)))</f>
        <v>0</v>
      </c>
      <c r="AK81" s="149">
        <f>IF(AK$4=0,$P81,IF(AK$4&lt;4,$U81*(1+$C$137)^AK$4,IF(AK$4&gt;3,$Y81*(1+$C$137)^AK$4)))</f>
        <v>0</v>
      </c>
      <c r="AL81" s="149">
        <f>IF(AL$4=0,$P81,IF(AL$4&lt;4,$U81*(1+$C$137)^AL$4,IF(AL$4&gt;3,$Y81*(1+$C$137)^AL$4)))</f>
        <v>0</v>
      </c>
      <c r="AM81" s="149">
        <f>IF(AM$4=0,$P81,IF(AM$4&lt;4,$U81*(1+$C$137)^AM$4,IF(AM$4&gt;3,$Y81*(1+$C$137)^AM$4)))</f>
        <v>0</v>
      </c>
      <c r="AN81" s="149">
        <f>IF(AN$4=0,$P81,IF(AN$4&lt;4,$U81*(1+$C$137)^AN$4,IF(AN$4&gt;3,$Y81*(1+$C$137)^AN$4)))</f>
        <v>0</v>
      </c>
      <c r="AO81" s="149">
        <f>IF(AO$4=0,$P81,IF(AO$4&lt;4,$U81*(1+$C$137)^AO$4,IF(AO$4&gt;3,$Y81*(1+$C$137)^AO$4)))</f>
        <v>0</v>
      </c>
      <c r="AP81" s="149">
        <f>IF(AP$4=0,$P81,IF(AP$4&lt;4,$U81*(1+$C$137)^AP$4,IF(AP$4&gt;3,$Y81*(1+$C$137)^AP$4)))</f>
        <v>0</v>
      </c>
      <c r="AQ81" s="149">
        <f>IF(AQ$4=0,$P81,IF(AQ$4&lt;4,$U81*(1+$C$137)^AQ$4,IF(AQ$4&gt;3,$Y81*(1+$C$137)^AQ$4)))</f>
        <v>0</v>
      </c>
      <c r="AR81" s="149">
        <f>IF(AR$4=0,$P81,IF(AR$4&lt;4,$U81*(1+$C$137)^AR$4,IF(AR$4&gt;3,$Y81*(1+$C$137)^AR$4)))</f>
        <v>0</v>
      </c>
      <c r="AS81" s="149">
        <f>IF(AS$4=0,$P81,IF(AS$4&lt;4,$U81*(1+$C$137)^AS$4,IF(AS$4&gt;3,$Y81*(1+$C$137)^AS$4)))</f>
        <v>0</v>
      </c>
      <c r="AT81" s="149">
        <f>IF(AT$4=0,$P81,IF(AT$4&lt;4,$U81*(1+$C$137)^AT$4,IF(AT$4&gt;3,$Y81*(1+$C$137)^AT$4)))</f>
        <v>0</v>
      </c>
      <c r="AU81" s="149">
        <f>IF(AU$4=0,$P81,IF(AU$4&lt;4,$U81*(1+$C$137)^AU$4,IF(AU$4&gt;3,$Y81*(1+$C$137)^AU$4)))</f>
        <v>0</v>
      </c>
      <c r="AV81" s="149">
        <f>IF(AV$4=0,$P81,IF(AV$4&lt;4,$U81*(1+$C$137)^AV$4,IF(AV$4&gt;3,$Y81*(1+$C$137)^AV$4)))</f>
        <v>0</v>
      </c>
      <c r="AW81" s="149">
        <f>IF(AW$4=0,$P81,IF(AW$4&lt;4,$U81*(1+$C$137)^AW$4,IF(AW$4&gt;3,$Y81*(1+$C$137)^AW$4)))</f>
        <v>0</v>
      </c>
      <c r="AX81" s="149">
        <f>IF(AX$4=0,$P81,IF(AX$4&lt;4,$U81*(1+$C$137)^AX$4,IF(AX$4&gt;3,$Y81*(1+$C$137)^AX$4)))</f>
        <v>0</v>
      </c>
      <c r="AY81" s="149">
        <f>IF(AY$4=0,$P81,IF(AY$4&lt;4,$U81*(1+$C$137)^AY$4,IF(AY$4&gt;3,$Y81*(1+$C$137)^AY$4)))</f>
        <v>0</v>
      </c>
      <c r="AZ81" s="149">
        <f>IF(AZ$4=0,$P81,IF(AZ$4&lt;4,$U81*(1+$C$137)^AZ$4,IF(AZ$4&gt;3,$Y81*(1+$C$137)^AZ$4)))</f>
        <v>0</v>
      </c>
      <c r="BA81" s="149">
        <f>IF(BA$4=0,$P81,IF(BA$4&lt;4,$U81*(1+$C$137)^BA$4,IF(BA$4&gt;3,$Y81*(1+$C$137)^BA$4)))</f>
        <v>0</v>
      </c>
      <c r="BB81" s="149">
        <f>IF(BB$4=0,$P81,IF(BB$4&lt;4,$U81*(1+$C$137)^BB$4,IF(BB$4&gt;3,$Y81*(1+$C$137)^BB$4)))</f>
        <v>0</v>
      </c>
      <c r="BC81" s="149">
        <f>IF(BC$4=0,$P81,IF(BC$4&lt;4,$U81*(1+$C$137)^BC$4,IF(BC$4&gt;3,$Y81*(1+$C$137)^BC$4)))</f>
        <v>0</v>
      </c>
      <c r="BD81" s="149">
        <f>IF(BD$4=0,$P81,IF(BD$4&lt;4,$U81*(1+$C$137)^BD$4,IF(BD$4&gt;3,$Y81*(1+$C$137)^BD$4)))</f>
        <v>0</v>
      </c>
      <c r="BE81" s="149">
        <f>IF(BE$4=0,$P81,IF(BE$4&lt;4,$U81*(1+$C$137)^BE$4,IF(BE$4&gt;3,$Y81*(1+$C$137)^BE$4)))</f>
        <v>0</v>
      </c>
      <c r="BF81" s="149">
        <f>IF(BF$4=0,$P81,IF(BF$4&lt;4,$U81*(1+$C$137)^BF$4,IF(BF$4&gt;3,$Y81*(1+$C$137)^BF$4)))</f>
        <v>0</v>
      </c>
      <c r="BG81" s="149">
        <f>IF(BG$4=0,$P81,IF(BG$4&lt;4,$U81*(1+$C$137)^BG$4,IF(BG$4&gt;3,$Y81*(1+$C$137)^BG$4)))</f>
        <v>0</v>
      </c>
      <c r="BH81" s="149">
        <f>IF(BH$4=0,$P81,IF(BH$4&lt;4,$U81*(1+$C$137)^BH$4,IF(BH$4&gt;3,$Y81*(1+$C$137)^BH$4)))</f>
        <v>0</v>
      </c>
      <c r="BI81" s="149">
        <f>IF(BI$4=0,$P81,IF(BI$4&lt;4,$U81*(1+$C$137)^BI$4,IF(BI$4&gt;3,$Y81*(1+$C$137)^BI$4)))</f>
        <v>0</v>
      </c>
      <c r="BJ81" s="149">
        <f>IF(BJ$4=0,$P81,IF(BJ$4&lt;4,$U81*(1+$C$137)^BJ$4,IF(BJ$4&gt;3,$Y81*(1+$C$137)^BJ$4)))</f>
        <v>0</v>
      </c>
      <c r="BK81" s="149">
        <f>IF(BK$4=0,$P81,IF(BK$4&lt;4,$U81*(1+$C$137)^BK$4,IF(BK$4&gt;3,$Y81*(1+$C$137)^BK$4)))</f>
        <v>0</v>
      </c>
      <c r="BL81" s="149">
        <f>IF(BL$4=0,$P81,IF(BL$4&lt;4,$U81*(1+$C$137)^BL$4,IF(BL$4&gt;3,$Y81*(1+$C$137)^BL$4)))</f>
        <v>0</v>
      </c>
      <c r="BM81" s="149">
        <f>IF(BM$4=0,$P81,IF(BM$4&lt;4,$U81*(1+$C$137)^BM$4,IF(BM$4&gt;3,$Y81*(1+$C$137)^BM$4)))</f>
        <v>0</v>
      </c>
      <c r="BN81" s="149">
        <f>IF(BN$4=0,$P81,IF(BN$4&lt;4,$U81*(1+$C$137)^BN$4,IF(BN$4&gt;3,$Y81*(1+$C$137)^BN$4)))</f>
        <v>0</v>
      </c>
      <c r="BO81" s="149">
        <f>IF(BO$4=0,$P81,IF(BO$4&lt;4,$U81*(1+$C$137)^BO$4,IF(BO$4&gt;3,$Y81*(1+$C$137)^BO$4)))</f>
        <v>0</v>
      </c>
      <c r="BP81" s="149">
        <f>IF(BP$4=0,$P81,IF(BP$4&lt;4,$U81*(1+$C$137)^BP$4,IF(BP$4&gt;3,$Y81*(1+$C$137)^BP$4)))</f>
        <v>0</v>
      </c>
      <c r="BQ81" s="149">
        <f>IF(BQ$4=0,$P81,IF(BQ$4&lt;4,$U81*(1+$C$137)^BQ$4,IF(BQ$4&gt;3,$Y81*(1+$C$137)^BQ$4)))</f>
        <v>0</v>
      </c>
      <c r="BR81" s="149">
        <f>IF(BR$4=0,$P81,IF(BR$4&lt;4,$U81*(1+$C$137)^BR$4,IF(BR$4&gt;3,$Y81*(1+$C$137)^BR$4)))</f>
        <v>0</v>
      </c>
      <c r="BS81" s="149">
        <f>IF(BS$4=0,$P81,IF(BS$4&lt;4,$U81*(1+$C$137)^BS$4,IF(BS$4&gt;3,$Y81*(1+$C$137)^BS$4)))</f>
        <v>0</v>
      </c>
      <c r="BT81" s="1"/>
      <c r="BU81" s="14"/>
      <c r="BV81" s="93" t="str">
        <f t="shared" si="39"/>
        <v>Beetle bank</v>
      </c>
      <c r="BW81" s="14"/>
      <c r="BX81" s="93"/>
      <c r="BY81" s="14"/>
    </row>
    <row r="82" spans="1:77" ht="32" x14ac:dyDescent="0.15">
      <c r="A82" s="14"/>
      <c r="B82" s="519" t="s">
        <v>47</v>
      </c>
      <c r="C82" s="430" t="s">
        <v>48</v>
      </c>
      <c r="D82" s="431" t="s">
        <v>105</v>
      </c>
      <c r="E82" s="254" t="s">
        <v>177</v>
      </c>
      <c r="F82" s="434"/>
      <c r="G82" s="577">
        <v>0.58224600000000004</v>
      </c>
      <c r="H82" s="578">
        <v>324</v>
      </c>
      <c r="I82" s="254" t="s">
        <v>106</v>
      </c>
      <c r="J82" s="521" t="s">
        <v>117</v>
      </c>
      <c r="K82" s="579">
        <v>90</v>
      </c>
      <c r="L82" s="580">
        <f t="shared" si="41"/>
        <v>29160</v>
      </c>
      <c r="M82" s="1006" t="s">
        <v>117</v>
      </c>
      <c r="N82" s="581" t="s">
        <v>117</v>
      </c>
      <c r="O82" s="580">
        <f>IFERROR(IF(OR($F82&gt;0,$G82&gt;0,$H82&gt;0),MAX($F82:$H82)*N82,0),0)</f>
        <v>0</v>
      </c>
      <c r="P82" s="582">
        <f t="shared" si="23"/>
        <v>29160</v>
      </c>
      <c r="Q82" s="583" t="s">
        <v>117</v>
      </c>
      <c r="R82" s="521" t="s">
        <v>117</v>
      </c>
      <c r="S82" s="522" t="s">
        <v>117</v>
      </c>
      <c r="T82" s="522" t="s">
        <v>117</v>
      </c>
      <c r="U82" s="259">
        <f t="shared" si="42"/>
        <v>0</v>
      </c>
      <c r="V82" s="254" t="s">
        <v>113</v>
      </c>
      <c r="W82" s="521" t="s">
        <v>117</v>
      </c>
      <c r="X82" s="584">
        <v>0</v>
      </c>
      <c r="Y82" s="261">
        <f t="shared" si="45"/>
        <v>0</v>
      </c>
      <c r="Z82" s="1"/>
      <c r="AA82" s="88">
        <f>NPV($C$136,AF82:BS82)+AE82</f>
        <v>29160</v>
      </c>
      <c r="AB82" s="74"/>
      <c r="AC82" s="392"/>
      <c r="AD82" s="392"/>
      <c r="AE82" s="149">
        <f>IF(AE$4=0,$P82,IF(AE$4&lt;4,$U82*(1+$C$137)^AE$4,IF(AE$4&gt;3,$Y82*(1+$C$137)^AE$4)))</f>
        <v>29160</v>
      </c>
      <c r="AF82" s="149">
        <f>IF(AF$4=0,$P82,IF(AF$4&lt;4,$U82*(1+$C$137)^AF$4,IF(AF$4&gt;3,$Y82*(1+$C$137)^AF$4)))</f>
        <v>0</v>
      </c>
      <c r="AG82" s="149">
        <f>IF(AG$4=0,$P82,IF(AG$4&lt;4,$U82*(1+$C$137)^AG$4,IF(AG$4&gt;3,$Y82*(1+$C$137)^AG$4)))</f>
        <v>0</v>
      </c>
      <c r="AH82" s="149">
        <f>IF(AH$4=0,$P82,IF(AH$4&lt;4,$U82*(1+$C$137)^AH$4,IF(AH$4&gt;3,$Y82*(1+$C$137)^AH$4)))</f>
        <v>0</v>
      </c>
      <c r="AI82" s="149">
        <f>IF(AI$4=0,$P82,IF(AI$4&lt;4,$U82*(1+$C$137)^AI$4,IF(AI$4&gt;3,$Y82*(1+$C$137)^AI$4)))</f>
        <v>0</v>
      </c>
      <c r="AJ82" s="149">
        <f>IF(AJ$4=0,$P82,IF(AJ$4&lt;4,$U82*(1+$C$137)^AJ$4,IF(AJ$4&gt;3,$Y82*(1+$C$137)^AJ$4)))</f>
        <v>0</v>
      </c>
      <c r="AK82" s="149">
        <f>IF(AK$4=0,$P82,IF(AK$4&lt;4,$U82*(1+$C$137)^AK$4,IF(AK$4&gt;3,$Y82*(1+$C$137)^AK$4)))</f>
        <v>0</v>
      </c>
      <c r="AL82" s="149">
        <f>IF(AL$4=0,$P82,IF(AL$4&lt;4,$U82*(1+$C$137)^AL$4,IF(AL$4&gt;3,$Y82*(1+$C$137)^AL$4)))</f>
        <v>0</v>
      </c>
      <c r="AM82" s="149">
        <f>IF(AM$4=0,$P82,IF(AM$4&lt;4,$U82*(1+$C$137)^AM$4,IF(AM$4&gt;3,$Y82*(1+$C$137)^AM$4)))</f>
        <v>0</v>
      </c>
      <c r="AN82" s="149">
        <f>IF(AN$4=0,$P82,IF(AN$4&lt;4,$U82*(1+$C$137)^AN$4,IF(AN$4&gt;3,$Y82*(1+$C$137)^AN$4)))</f>
        <v>0</v>
      </c>
      <c r="AO82" s="149">
        <f>IF(AO$4=0,$P82,IF(AO$4&lt;4,$U82*(1+$C$137)^AO$4,IF(AO$4&gt;3,$Y82*(1+$C$137)^AO$4)))</f>
        <v>0</v>
      </c>
      <c r="AP82" s="149">
        <f>IF(AP$4=0,$P82,IF(AP$4&lt;4,$U82*(1+$C$137)^AP$4,IF(AP$4&gt;3,$Y82*(1+$C$137)^AP$4)))</f>
        <v>0</v>
      </c>
      <c r="AQ82" s="149">
        <f>IF(AQ$4=0,$P82,IF(AQ$4&lt;4,$U82*(1+$C$137)^AQ$4,IF(AQ$4&gt;3,$Y82*(1+$C$137)^AQ$4)))</f>
        <v>0</v>
      </c>
      <c r="AR82" s="149">
        <f>IF(AR$4=0,$P82,IF(AR$4&lt;4,$U82*(1+$C$137)^AR$4,IF(AR$4&gt;3,$Y82*(1+$C$137)^AR$4)))</f>
        <v>0</v>
      </c>
      <c r="AS82" s="149">
        <f>IF(AS$4=0,$P82,IF(AS$4&lt;4,$U82*(1+$C$137)^AS$4,IF(AS$4&gt;3,$Y82*(1+$C$137)^AS$4)))</f>
        <v>0</v>
      </c>
      <c r="AT82" s="149">
        <f>IF(AT$4=0,$P82,IF(AT$4&lt;4,$U82*(1+$C$137)^AT$4,IF(AT$4&gt;3,$Y82*(1+$C$137)^AT$4)))</f>
        <v>0</v>
      </c>
      <c r="AU82" s="149">
        <f>IF(AU$4=0,$P82,IF(AU$4&lt;4,$U82*(1+$C$137)^AU$4,IF(AU$4&gt;3,$Y82*(1+$C$137)^AU$4)))</f>
        <v>0</v>
      </c>
      <c r="AV82" s="149">
        <f>IF(AV$4=0,$P82,IF(AV$4&lt;4,$U82*(1+$C$137)^AV$4,IF(AV$4&gt;3,$Y82*(1+$C$137)^AV$4)))</f>
        <v>0</v>
      </c>
      <c r="AW82" s="149">
        <f>IF(AW$4=0,$P82,IF(AW$4&lt;4,$U82*(1+$C$137)^AW$4,IF(AW$4&gt;3,$Y82*(1+$C$137)^AW$4)))</f>
        <v>0</v>
      </c>
      <c r="AX82" s="149">
        <f>IF(AX$4=0,$P82,IF(AX$4&lt;4,$U82*(1+$C$137)^AX$4,IF(AX$4&gt;3,$Y82*(1+$C$137)^AX$4)))</f>
        <v>0</v>
      </c>
      <c r="AY82" s="149">
        <f>IF(AY$4=0,$P82,IF(AY$4&lt;4,$U82*(1+$C$137)^AY$4,IF(AY$4&gt;3,$Y82*(1+$C$137)^AY$4)))</f>
        <v>0</v>
      </c>
      <c r="AZ82" s="149">
        <f>IF(AZ$4=0,$P82,IF(AZ$4&lt;4,$U82*(1+$C$137)^AZ$4,IF(AZ$4&gt;3,$Y82*(1+$C$137)^AZ$4)))</f>
        <v>0</v>
      </c>
      <c r="BA82" s="149">
        <f>IF(BA$4=0,$P82,IF(BA$4&lt;4,$U82*(1+$C$137)^BA$4,IF(BA$4&gt;3,$Y82*(1+$C$137)^BA$4)))</f>
        <v>0</v>
      </c>
      <c r="BB82" s="149">
        <f>IF(BB$4=0,$P82,IF(BB$4&lt;4,$U82*(1+$C$137)^BB$4,IF(BB$4&gt;3,$Y82*(1+$C$137)^BB$4)))</f>
        <v>0</v>
      </c>
      <c r="BC82" s="149">
        <f>IF(BC$4=0,$P82,IF(BC$4&lt;4,$U82*(1+$C$137)^BC$4,IF(BC$4&gt;3,$Y82*(1+$C$137)^BC$4)))</f>
        <v>0</v>
      </c>
      <c r="BD82" s="149">
        <f>IF(BD$4=0,$P82,IF(BD$4&lt;4,$U82*(1+$C$137)^BD$4,IF(BD$4&gt;3,$Y82*(1+$C$137)^BD$4)))</f>
        <v>0</v>
      </c>
      <c r="BE82" s="149">
        <f>IF(BE$4=0,$P82,IF(BE$4&lt;4,$U82*(1+$C$137)^BE$4,IF(BE$4&gt;3,$Y82*(1+$C$137)^BE$4)))</f>
        <v>0</v>
      </c>
      <c r="BF82" s="149">
        <f>IF(BF$4=0,$P82,IF(BF$4&lt;4,$U82*(1+$C$137)^BF$4,IF(BF$4&gt;3,$Y82*(1+$C$137)^BF$4)))</f>
        <v>0</v>
      </c>
      <c r="BG82" s="149">
        <f>IF(BG$4=0,$P82,IF(BG$4&lt;4,$U82*(1+$C$137)^BG$4,IF(BG$4&gt;3,$Y82*(1+$C$137)^BG$4)))</f>
        <v>0</v>
      </c>
      <c r="BH82" s="149">
        <f>IF(BH$4=0,$P82,IF(BH$4&lt;4,$U82*(1+$C$137)^BH$4,IF(BH$4&gt;3,$Y82*(1+$C$137)^BH$4)))</f>
        <v>0</v>
      </c>
      <c r="BI82" s="149">
        <f>IF(BI$4=0,$P82,IF(BI$4&lt;4,$U82*(1+$C$137)^BI$4,IF(BI$4&gt;3,$Y82*(1+$C$137)^BI$4)))</f>
        <v>0</v>
      </c>
      <c r="BJ82" s="149">
        <f>IF(BJ$4=0,$P82,IF(BJ$4&lt;4,$U82*(1+$C$137)^BJ$4,IF(BJ$4&gt;3,$Y82*(1+$C$137)^BJ$4)))</f>
        <v>0</v>
      </c>
      <c r="BK82" s="149">
        <f>IF(BK$4=0,$P82,IF(BK$4&lt;4,$U82*(1+$C$137)^BK$4,IF(BK$4&gt;3,$Y82*(1+$C$137)^BK$4)))</f>
        <v>0</v>
      </c>
      <c r="BL82" s="149">
        <f>IF(BL$4=0,$P82,IF(BL$4&lt;4,$U82*(1+$C$137)^BL$4,IF(BL$4&gt;3,$Y82*(1+$C$137)^BL$4)))</f>
        <v>0</v>
      </c>
      <c r="BM82" s="149">
        <f>IF(BM$4=0,$P82,IF(BM$4&lt;4,$U82*(1+$C$137)^BM$4,IF(BM$4&gt;3,$Y82*(1+$C$137)^BM$4)))</f>
        <v>0</v>
      </c>
      <c r="BN82" s="149">
        <f>IF(BN$4=0,$P82,IF(BN$4&lt;4,$U82*(1+$C$137)^BN$4,IF(BN$4&gt;3,$Y82*(1+$C$137)^BN$4)))</f>
        <v>0</v>
      </c>
      <c r="BO82" s="149">
        <f>IF(BO$4=0,$P82,IF(BO$4&lt;4,$U82*(1+$C$137)^BO$4,IF(BO$4&gt;3,$Y82*(1+$C$137)^BO$4)))</f>
        <v>0</v>
      </c>
      <c r="BP82" s="149">
        <f>IF(BP$4=0,$P82,IF(BP$4&lt;4,$U82*(1+$C$137)^BP$4,IF(BP$4&gt;3,$Y82*(1+$C$137)^BP$4)))</f>
        <v>0</v>
      </c>
      <c r="BQ82" s="149">
        <f>IF(BQ$4=0,$P82,IF(BQ$4&lt;4,$U82*(1+$C$137)^BQ$4,IF(BQ$4&gt;3,$Y82*(1+$C$137)^BQ$4)))</f>
        <v>0</v>
      </c>
      <c r="BR82" s="149">
        <f>IF(BR$4=0,$P82,IF(BR$4&lt;4,$U82*(1+$C$137)^BR$4,IF(BR$4&gt;3,$Y82*(1+$C$137)^BR$4)))</f>
        <v>0</v>
      </c>
      <c r="BS82" s="149">
        <f>IF(BS$4=0,$P82,IF(BS$4&lt;4,$U82*(1+$C$137)^BS$4,IF(BS$4&gt;3,$Y82*(1+$C$137)^BS$4)))</f>
        <v>0</v>
      </c>
      <c r="BT82" s="1"/>
      <c r="BU82" s="14"/>
      <c r="BV82" s="93" t="str">
        <f t="shared" si="39"/>
        <v>Screening hurdles</v>
      </c>
      <c r="BW82" s="14"/>
      <c r="BX82" s="93"/>
      <c r="BY82" s="14"/>
    </row>
    <row r="83" spans="1:77" ht="48" x14ac:dyDescent="0.15">
      <c r="A83" s="14"/>
      <c r="B83" s="1101" t="s">
        <v>141</v>
      </c>
      <c r="C83" s="25" t="s">
        <v>142</v>
      </c>
      <c r="D83" s="217" t="s">
        <v>49</v>
      </c>
      <c r="E83" s="424" t="s">
        <v>117</v>
      </c>
      <c r="F83" s="421"/>
      <c r="G83" s="475"/>
      <c r="H83" s="585">
        <v>5</v>
      </c>
      <c r="I83" s="586" t="s">
        <v>117</v>
      </c>
      <c r="J83" s="44" t="s">
        <v>117</v>
      </c>
      <c r="K83" s="587">
        <v>75</v>
      </c>
      <c r="L83" s="588">
        <f t="shared" si="41"/>
        <v>375</v>
      </c>
      <c r="M83" s="424" t="s">
        <v>117</v>
      </c>
      <c r="N83" s="589">
        <v>50</v>
      </c>
      <c r="O83" s="588">
        <f t="shared" ref="O83:O84" si="46">IF(OR($F83&gt;0,$G83&gt;0,$H83&gt;0),MAX($F83:$H83)*N83,0)</f>
        <v>250</v>
      </c>
      <c r="P83" s="48">
        <f t="shared" si="23"/>
        <v>625</v>
      </c>
      <c r="Q83" s="424" t="s">
        <v>117</v>
      </c>
      <c r="R83" s="44" t="s">
        <v>117</v>
      </c>
      <c r="S83" s="590" t="s">
        <v>117</v>
      </c>
      <c r="T83" s="591" t="s">
        <v>117</v>
      </c>
      <c r="U83" s="48">
        <f t="shared" si="42"/>
        <v>0</v>
      </c>
      <c r="V83" s="424" t="s">
        <v>117</v>
      </c>
      <c r="W83" s="592" t="s">
        <v>117</v>
      </c>
      <c r="X83" s="593" t="s">
        <v>117</v>
      </c>
      <c r="Y83" s="50">
        <f t="shared" ref="Y83:Y84" si="47">IFERROR((F83+G83+H83)*W83*X83,0)</f>
        <v>0</v>
      </c>
      <c r="Z83" s="1"/>
      <c r="AA83" s="88">
        <f>NPV($C$136,AF83:BS83)+AE83</f>
        <v>625</v>
      </c>
      <c r="AB83" s="74"/>
      <c r="AC83" s="594"/>
      <c r="AD83" s="594"/>
      <c r="AE83" s="149">
        <f>IF(AE$4=0,$P83,IF(AE$4&lt;4,$U83*(1+$C$137)^AE$4,IF(AE$4&gt;3,$Y83*(1+$C$137)^AE$4)))</f>
        <v>625</v>
      </c>
      <c r="AF83" s="149">
        <f>IF(AF$4=0,$P83,IF(AF$4&lt;4,$U83*(1+$C$137)^AF$4,IF(AF$4&gt;3,$Y83*(1+$C$137)^AF$4)))</f>
        <v>0</v>
      </c>
      <c r="AG83" s="149">
        <f>IF(AG$4=0,$P83,IF(AG$4&lt;4,$U83*(1+$C$137)^AG$4,IF(AG$4&gt;3,$Y83*(1+$C$137)^AG$4)))</f>
        <v>0</v>
      </c>
      <c r="AH83" s="149">
        <f>IF(AH$4=0,$P83,IF(AH$4&lt;4,$U83*(1+$C$137)^AH$4,IF(AH$4&gt;3,$Y83*(1+$C$137)^AH$4)))</f>
        <v>0</v>
      </c>
      <c r="AI83" s="149">
        <f>IF(AI$4=0,$P83,IF(AI$4&lt;4,$U83*(1+$C$137)^AI$4,IF(AI$4&gt;3,$Y83*(1+$C$137)^AI$4)))</f>
        <v>0</v>
      </c>
      <c r="AJ83" s="149">
        <f>IF(AJ$4=0,$P83,IF(AJ$4&lt;4,$U83*(1+$C$137)^AJ$4,IF(AJ$4&gt;3,$Y83*(1+$C$137)^AJ$4)))</f>
        <v>0</v>
      </c>
      <c r="AK83" s="149">
        <f>IF(AK$4=0,$P83,IF(AK$4&lt;4,$U83*(1+$C$137)^AK$4,IF(AK$4&gt;3,$Y83*(1+$C$137)^AK$4)))</f>
        <v>0</v>
      </c>
      <c r="AL83" s="149">
        <f>IF(AL$4=0,$P83,IF(AL$4&lt;4,$U83*(1+$C$137)^AL$4,IF(AL$4&gt;3,$Y83*(1+$C$137)^AL$4)))</f>
        <v>0</v>
      </c>
      <c r="AM83" s="149">
        <f>IF(AM$4=0,$P83,IF(AM$4&lt;4,$U83*(1+$C$137)^AM$4,IF(AM$4&gt;3,$Y83*(1+$C$137)^AM$4)))</f>
        <v>0</v>
      </c>
      <c r="AN83" s="149">
        <f>IF(AN$4=0,$P83,IF(AN$4&lt;4,$U83*(1+$C$137)^AN$4,IF(AN$4&gt;3,$Y83*(1+$C$137)^AN$4)))</f>
        <v>0</v>
      </c>
      <c r="AO83" s="149">
        <f>IF(AO$4=0,$P83,IF(AO$4&lt;4,$U83*(1+$C$137)^AO$4,IF(AO$4&gt;3,$Y83*(1+$C$137)^AO$4)))</f>
        <v>0</v>
      </c>
      <c r="AP83" s="149">
        <f>IF(AP$4=0,$P83,IF(AP$4&lt;4,$U83*(1+$C$137)^AP$4,IF(AP$4&gt;3,$Y83*(1+$C$137)^AP$4)))</f>
        <v>0</v>
      </c>
      <c r="AQ83" s="149">
        <f>IF(AQ$4=0,$P83,IF(AQ$4&lt;4,$U83*(1+$C$137)^AQ$4,IF(AQ$4&gt;3,$Y83*(1+$C$137)^AQ$4)))</f>
        <v>0</v>
      </c>
      <c r="AR83" s="149">
        <f>IF(AR$4=0,$P83,IF(AR$4&lt;4,$U83*(1+$C$137)^AR$4,IF(AR$4&gt;3,$Y83*(1+$C$137)^AR$4)))</f>
        <v>0</v>
      </c>
      <c r="AS83" s="149">
        <f>IF(AS$4=0,$P83,IF(AS$4&lt;4,$U83*(1+$C$137)^AS$4,IF(AS$4&gt;3,$Y83*(1+$C$137)^AS$4)))</f>
        <v>0</v>
      </c>
      <c r="AT83" s="149">
        <f>IF(AT$4=0,$P83,IF(AT$4&lt;4,$U83*(1+$C$137)^AT$4,IF(AT$4&gt;3,$Y83*(1+$C$137)^AT$4)))</f>
        <v>0</v>
      </c>
      <c r="AU83" s="149">
        <f>IF(AU$4=0,$P83,IF(AU$4&lt;4,$U83*(1+$C$137)^AU$4,IF(AU$4&gt;3,$Y83*(1+$C$137)^AU$4)))</f>
        <v>0</v>
      </c>
      <c r="AV83" s="149">
        <f>IF(AV$4=0,$P83,IF(AV$4&lt;4,$U83*(1+$C$137)^AV$4,IF(AV$4&gt;3,$Y83*(1+$C$137)^AV$4)))</f>
        <v>0</v>
      </c>
      <c r="AW83" s="149">
        <f>IF(AW$4=0,$P83,IF(AW$4&lt;4,$U83*(1+$C$137)^AW$4,IF(AW$4&gt;3,$Y83*(1+$C$137)^AW$4)))</f>
        <v>0</v>
      </c>
      <c r="AX83" s="149">
        <f>IF(AX$4=0,$P83,IF(AX$4&lt;4,$U83*(1+$C$137)^AX$4,IF(AX$4&gt;3,$Y83*(1+$C$137)^AX$4)))</f>
        <v>0</v>
      </c>
      <c r="AY83" s="149">
        <f>IF(AY$4=0,$P83,IF(AY$4&lt;4,$U83*(1+$C$137)^AY$4,IF(AY$4&gt;3,$Y83*(1+$C$137)^AY$4)))</f>
        <v>0</v>
      </c>
      <c r="AZ83" s="149">
        <f>IF(AZ$4=0,$P83,IF(AZ$4&lt;4,$U83*(1+$C$137)^AZ$4,IF(AZ$4&gt;3,$Y83*(1+$C$137)^AZ$4)))</f>
        <v>0</v>
      </c>
      <c r="BA83" s="149">
        <f>IF(BA$4=0,$P83,IF(BA$4&lt;4,$U83*(1+$C$137)^BA$4,IF(BA$4&gt;3,$Y83*(1+$C$137)^BA$4)))</f>
        <v>0</v>
      </c>
      <c r="BB83" s="149">
        <f>IF(BB$4=0,$P83,IF(BB$4&lt;4,$U83*(1+$C$137)^BB$4,IF(BB$4&gt;3,$Y83*(1+$C$137)^BB$4)))</f>
        <v>0</v>
      </c>
      <c r="BC83" s="149">
        <f>IF(BC$4=0,$P83,IF(BC$4&lt;4,$U83*(1+$C$137)^BC$4,IF(BC$4&gt;3,$Y83*(1+$C$137)^BC$4)))</f>
        <v>0</v>
      </c>
      <c r="BD83" s="149">
        <f>IF(BD$4=0,$P83,IF(BD$4&lt;4,$U83*(1+$C$137)^BD$4,IF(BD$4&gt;3,$Y83*(1+$C$137)^BD$4)))</f>
        <v>0</v>
      </c>
      <c r="BE83" s="149">
        <f>IF(BE$4=0,$P83,IF(BE$4&lt;4,$U83*(1+$C$137)^BE$4,IF(BE$4&gt;3,$Y83*(1+$C$137)^BE$4)))</f>
        <v>0</v>
      </c>
      <c r="BF83" s="149">
        <f>IF(BF$4=0,$P83,IF(BF$4&lt;4,$U83*(1+$C$137)^BF$4,IF(BF$4&gt;3,$Y83*(1+$C$137)^BF$4)))</f>
        <v>0</v>
      </c>
      <c r="BG83" s="149">
        <f>IF(BG$4=0,$P83,IF(BG$4&lt;4,$U83*(1+$C$137)^BG$4,IF(BG$4&gt;3,$Y83*(1+$C$137)^BG$4)))</f>
        <v>0</v>
      </c>
      <c r="BH83" s="149">
        <f>IF(BH$4=0,$P83,IF(BH$4&lt;4,$U83*(1+$C$137)^BH$4,IF(BH$4&gt;3,$Y83*(1+$C$137)^BH$4)))</f>
        <v>0</v>
      </c>
      <c r="BI83" s="149">
        <f>IF(BI$4=0,$P83,IF(BI$4&lt;4,$U83*(1+$C$137)^BI$4,IF(BI$4&gt;3,$Y83*(1+$C$137)^BI$4)))</f>
        <v>0</v>
      </c>
      <c r="BJ83" s="149">
        <f>IF(BJ$4=0,$P83,IF(BJ$4&lt;4,$U83*(1+$C$137)^BJ$4,IF(BJ$4&gt;3,$Y83*(1+$C$137)^BJ$4)))</f>
        <v>0</v>
      </c>
      <c r="BK83" s="149">
        <f>IF(BK$4=0,$P83,IF(BK$4&lt;4,$U83*(1+$C$137)^BK$4,IF(BK$4&gt;3,$Y83*(1+$C$137)^BK$4)))</f>
        <v>0</v>
      </c>
      <c r="BL83" s="149">
        <f>IF(BL$4=0,$P83,IF(BL$4&lt;4,$U83*(1+$C$137)^BL$4,IF(BL$4&gt;3,$Y83*(1+$C$137)^BL$4)))</f>
        <v>0</v>
      </c>
      <c r="BM83" s="149">
        <f>IF(BM$4=0,$P83,IF(BM$4&lt;4,$U83*(1+$C$137)^BM$4,IF(BM$4&gt;3,$Y83*(1+$C$137)^BM$4)))</f>
        <v>0</v>
      </c>
      <c r="BN83" s="149">
        <f>IF(BN$4=0,$P83,IF(BN$4&lt;4,$U83*(1+$C$137)^BN$4,IF(BN$4&gt;3,$Y83*(1+$C$137)^BN$4)))</f>
        <v>0</v>
      </c>
      <c r="BO83" s="149">
        <f>IF(BO$4=0,$P83,IF(BO$4&lt;4,$U83*(1+$C$137)^BO$4,IF(BO$4&gt;3,$Y83*(1+$C$137)^BO$4)))</f>
        <v>0</v>
      </c>
      <c r="BP83" s="149">
        <f>IF(BP$4=0,$P83,IF(BP$4&lt;4,$U83*(1+$C$137)^BP$4,IF(BP$4&gt;3,$Y83*(1+$C$137)^BP$4)))</f>
        <v>0</v>
      </c>
      <c r="BQ83" s="149">
        <f>IF(BQ$4=0,$P83,IF(BQ$4&lt;4,$U83*(1+$C$137)^BQ$4,IF(BQ$4&gt;3,$Y83*(1+$C$137)^BQ$4)))</f>
        <v>0</v>
      </c>
      <c r="BR83" s="149">
        <f>IF(BR$4=0,$P83,IF(BR$4&lt;4,$U83*(1+$C$137)^BR$4,IF(BR$4&gt;3,$Y83*(1+$C$137)^BR$4)))</f>
        <v>0</v>
      </c>
      <c r="BS83" s="149">
        <f>IF(BS$4=0,$P83,IF(BS$4&lt;4,$U83*(1+$C$137)^BS$4,IF(BS$4&gt;3,$Y83*(1+$C$137)^BS$4)))</f>
        <v>0</v>
      </c>
      <c r="BT83" s="1"/>
      <c r="BU83" s="14"/>
      <c r="BV83" s="93" t="str">
        <f t="shared" si="39"/>
        <v>Visual engagement</v>
      </c>
      <c r="BW83" s="14"/>
      <c r="BX83" s="93"/>
      <c r="BY83" s="14"/>
    </row>
    <row r="84" spans="1:77" ht="32" x14ac:dyDescent="0.15">
      <c r="A84" s="14"/>
      <c r="B84" s="1102"/>
      <c r="C84" s="1007" t="s">
        <v>143</v>
      </c>
      <c r="D84" s="1008" t="s">
        <v>143</v>
      </c>
      <c r="E84" s="1009" t="s">
        <v>117</v>
      </c>
      <c r="F84" s="1010"/>
      <c r="G84" s="1011"/>
      <c r="H84" s="1012">
        <v>2</v>
      </c>
      <c r="I84" s="1013" t="s">
        <v>117</v>
      </c>
      <c r="J84" s="1014" t="s">
        <v>117</v>
      </c>
      <c r="K84" s="1015">
        <v>250</v>
      </c>
      <c r="L84" s="1016">
        <f t="shared" si="41"/>
        <v>500</v>
      </c>
      <c r="M84" s="1009" t="s">
        <v>117</v>
      </c>
      <c r="N84" s="1017">
        <v>50</v>
      </c>
      <c r="O84" s="1016">
        <f t="shared" si="46"/>
        <v>100</v>
      </c>
      <c r="P84" s="1018">
        <f t="shared" si="23"/>
        <v>600</v>
      </c>
      <c r="Q84" s="1009" t="s">
        <v>117</v>
      </c>
      <c r="R84" s="1014" t="s">
        <v>117</v>
      </c>
      <c r="S84" s="1019" t="s">
        <v>117</v>
      </c>
      <c r="T84" s="1020" t="s">
        <v>117</v>
      </c>
      <c r="U84" s="1018">
        <f t="shared" si="42"/>
        <v>0</v>
      </c>
      <c r="V84" s="1009" t="s">
        <v>117</v>
      </c>
      <c r="W84" s="1021" t="s">
        <v>117</v>
      </c>
      <c r="X84" s="1022" t="s">
        <v>117</v>
      </c>
      <c r="Y84" s="1023">
        <f t="shared" si="47"/>
        <v>0</v>
      </c>
      <c r="Z84" s="1"/>
      <c r="AA84" s="88">
        <f>NPV($C$136,AF84:BS84)+AE84</f>
        <v>600</v>
      </c>
      <c r="AB84" s="74"/>
      <c r="AC84" s="594"/>
      <c r="AD84" s="594"/>
      <c r="AE84" s="149">
        <f>IF(AE$4=0,$P84,IF(AE$4&lt;4,$U84*(1+$C$137)^AE$4,IF(AE$4&gt;3,$Y84*(1+$C$137)^AE$4)))</f>
        <v>600</v>
      </c>
      <c r="AF84" s="149">
        <f>IF(AF$4=0,$P84,IF(AF$4&lt;4,$U84*(1+$C$137)^AF$4,IF(AF$4&gt;3,$Y84*(1+$C$137)^AF$4)))</f>
        <v>0</v>
      </c>
      <c r="AG84" s="149">
        <f>IF(AG$4=0,$P84,IF(AG$4&lt;4,$U84*(1+$C$137)^AG$4,IF(AG$4&gt;3,$Y84*(1+$C$137)^AG$4)))</f>
        <v>0</v>
      </c>
      <c r="AH84" s="149">
        <f>IF(AH$4=0,$P84,IF(AH$4&lt;4,$U84*(1+$C$137)^AH$4,IF(AH$4&gt;3,$Y84*(1+$C$137)^AH$4)))</f>
        <v>0</v>
      </c>
      <c r="AI84" s="149">
        <f>IF(AI$4=0,$P84,IF(AI$4&lt;4,$U84*(1+$C$137)^AI$4,IF(AI$4&gt;3,$Y84*(1+$C$137)^AI$4)))</f>
        <v>0</v>
      </c>
      <c r="AJ84" s="149">
        <f>IF(AJ$4=0,$P84,IF(AJ$4&lt;4,$U84*(1+$C$137)^AJ$4,IF(AJ$4&gt;3,$Y84*(1+$C$137)^AJ$4)))</f>
        <v>0</v>
      </c>
      <c r="AK84" s="149">
        <f>IF(AK$4=0,$P84,IF(AK$4&lt;4,$U84*(1+$C$137)^AK$4,IF(AK$4&gt;3,$Y84*(1+$C$137)^AK$4)))</f>
        <v>0</v>
      </c>
      <c r="AL84" s="149">
        <f>IF(AL$4=0,$P84,IF(AL$4&lt;4,$U84*(1+$C$137)^AL$4,IF(AL$4&gt;3,$Y84*(1+$C$137)^AL$4)))</f>
        <v>0</v>
      </c>
      <c r="AM84" s="149">
        <f>IF(AM$4=0,$P84,IF(AM$4&lt;4,$U84*(1+$C$137)^AM$4,IF(AM$4&gt;3,$Y84*(1+$C$137)^AM$4)))</f>
        <v>0</v>
      </c>
      <c r="AN84" s="149">
        <f>IF(AN$4=0,$P84,IF(AN$4&lt;4,$U84*(1+$C$137)^AN$4,IF(AN$4&gt;3,$Y84*(1+$C$137)^AN$4)))</f>
        <v>0</v>
      </c>
      <c r="AO84" s="149">
        <f>IF(AO$4=0,$P84,IF(AO$4&lt;4,$U84*(1+$C$137)^AO$4,IF(AO$4&gt;3,$Y84*(1+$C$137)^AO$4)))</f>
        <v>0</v>
      </c>
      <c r="AP84" s="149">
        <f>IF(AP$4=0,$P84,IF(AP$4&lt;4,$U84*(1+$C$137)^AP$4,IF(AP$4&gt;3,$Y84*(1+$C$137)^AP$4)))</f>
        <v>0</v>
      </c>
      <c r="AQ84" s="149">
        <f>IF(AQ$4=0,$P84,IF(AQ$4&lt;4,$U84*(1+$C$137)^AQ$4,IF(AQ$4&gt;3,$Y84*(1+$C$137)^AQ$4)))</f>
        <v>0</v>
      </c>
      <c r="AR84" s="149">
        <f>IF(AR$4=0,$P84,IF(AR$4&lt;4,$U84*(1+$C$137)^AR$4,IF(AR$4&gt;3,$Y84*(1+$C$137)^AR$4)))</f>
        <v>0</v>
      </c>
      <c r="AS84" s="149">
        <f>IF(AS$4=0,$P84,IF(AS$4&lt;4,$U84*(1+$C$137)^AS$4,IF(AS$4&gt;3,$Y84*(1+$C$137)^AS$4)))</f>
        <v>0</v>
      </c>
      <c r="AT84" s="149">
        <f>IF(AT$4=0,$P84,IF(AT$4&lt;4,$U84*(1+$C$137)^AT$4,IF(AT$4&gt;3,$Y84*(1+$C$137)^AT$4)))</f>
        <v>0</v>
      </c>
      <c r="AU84" s="149">
        <f>IF(AU$4=0,$P84,IF(AU$4&lt;4,$U84*(1+$C$137)^AU$4,IF(AU$4&gt;3,$Y84*(1+$C$137)^AU$4)))</f>
        <v>0</v>
      </c>
      <c r="AV84" s="149">
        <f>IF(AV$4=0,$P84,IF(AV$4&lt;4,$U84*(1+$C$137)^AV$4,IF(AV$4&gt;3,$Y84*(1+$C$137)^AV$4)))</f>
        <v>0</v>
      </c>
      <c r="AW84" s="149">
        <f>IF(AW$4=0,$P84,IF(AW$4&lt;4,$U84*(1+$C$137)^AW$4,IF(AW$4&gt;3,$Y84*(1+$C$137)^AW$4)))</f>
        <v>0</v>
      </c>
      <c r="AX84" s="149">
        <f>IF(AX$4=0,$P84,IF(AX$4&lt;4,$U84*(1+$C$137)^AX$4,IF(AX$4&gt;3,$Y84*(1+$C$137)^AX$4)))</f>
        <v>0</v>
      </c>
      <c r="AY84" s="149">
        <f>IF(AY$4=0,$P84,IF(AY$4&lt;4,$U84*(1+$C$137)^AY$4,IF(AY$4&gt;3,$Y84*(1+$C$137)^AY$4)))</f>
        <v>0</v>
      </c>
      <c r="AZ84" s="149">
        <f>IF(AZ$4=0,$P84,IF(AZ$4&lt;4,$U84*(1+$C$137)^AZ$4,IF(AZ$4&gt;3,$Y84*(1+$C$137)^AZ$4)))</f>
        <v>0</v>
      </c>
      <c r="BA84" s="149">
        <f>IF(BA$4=0,$P84,IF(BA$4&lt;4,$U84*(1+$C$137)^BA$4,IF(BA$4&gt;3,$Y84*(1+$C$137)^BA$4)))</f>
        <v>0</v>
      </c>
      <c r="BB84" s="149">
        <f>IF(BB$4=0,$P84,IF(BB$4&lt;4,$U84*(1+$C$137)^BB$4,IF(BB$4&gt;3,$Y84*(1+$C$137)^BB$4)))</f>
        <v>0</v>
      </c>
      <c r="BC84" s="149">
        <f>IF(BC$4=0,$P84,IF(BC$4&lt;4,$U84*(1+$C$137)^BC$4,IF(BC$4&gt;3,$Y84*(1+$C$137)^BC$4)))</f>
        <v>0</v>
      </c>
      <c r="BD84" s="149">
        <f>IF(BD$4=0,$P84,IF(BD$4&lt;4,$U84*(1+$C$137)^BD$4,IF(BD$4&gt;3,$Y84*(1+$C$137)^BD$4)))</f>
        <v>0</v>
      </c>
      <c r="BE84" s="149">
        <f>IF(BE$4=0,$P84,IF(BE$4&lt;4,$U84*(1+$C$137)^BE$4,IF(BE$4&gt;3,$Y84*(1+$C$137)^BE$4)))</f>
        <v>0</v>
      </c>
      <c r="BF84" s="149">
        <f>IF(BF$4=0,$P84,IF(BF$4&lt;4,$U84*(1+$C$137)^BF$4,IF(BF$4&gt;3,$Y84*(1+$C$137)^BF$4)))</f>
        <v>0</v>
      </c>
      <c r="BG84" s="149">
        <f>IF(BG$4=0,$P84,IF(BG$4&lt;4,$U84*(1+$C$137)^BG$4,IF(BG$4&gt;3,$Y84*(1+$C$137)^BG$4)))</f>
        <v>0</v>
      </c>
      <c r="BH84" s="149">
        <f>IF(BH$4=0,$P84,IF(BH$4&lt;4,$U84*(1+$C$137)^BH$4,IF(BH$4&gt;3,$Y84*(1+$C$137)^BH$4)))</f>
        <v>0</v>
      </c>
      <c r="BI84" s="149">
        <f>IF(BI$4=0,$P84,IF(BI$4&lt;4,$U84*(1+$C$137)^BI$4,IF(BI$4&gt;3,$Y84*(1+$C$137)^BI$4)))</f>
        <v>0</v>
      </c>
      <c r="BJ84" s="149">
        <f>IF(BJ$4=0,$P84,IF(BJ$4&lt;4,$U84*(1+$C$137)^BJ$4,IF(BJ$4&gt;3,$Y84*(1+$C$137)^BJ$4)))</f>
        <v>0</v>
      </c>
      <c r="BK84" s="149">
        <f>IF(BK$4=0,$P84,IF(BK$4&lt;4,$U84*(1+$C$137)^BK$4,IF(BK$4&gt;3,$Y84*(1+$C$137)^BK$4)))</f>
        <v>0</v>
      </c>
      <c r="BL84" s="149">
        <f>IF(BL$4=0,$P84,IF(BL$4&lt;4,$U84*(1+$C$137)^BL$4,IF(BL$4&gt;3,$Y84*(1+$C$137)^BL$4)))</f>
        <v>0</v>
      </c>
      <c r="BM84" s="149">
        <f>IF(BM$4=0,$P84,IF(BM$4&lt;4,$U84*(1+$C$137)^BM$4,IF(BM$4&gt;3,$Y84*(1+$C$137)^BM$4)))</f>
        <v>0</v>
      </c>
      <c r="BN84" s="149">
        <f>IF(BN$4=0,$P84,IF(BN$4&lt;4,$U84*(1+$C$137)^BN$4,IF(BN$4&gt;3,$Y84*(1+$C$137)^BN$4)))</f>
        <v>0</v>
      </c>
      <c r="BO84" s="149">
        <f>IF(BO$4=0,$P84,IF(BO$4&lt;4,$U84*(1+$C$137)^BO$4,IF(BO$4&gt;3,$Y84*(1+$C$137)^BO$4)))</f>
        <v>0</v>
      </c>
      <c r="BP84" s="149">
        <f>IF(BP$4=0,$P84,IF(BP$4&lt;4,$U84*(1+$C$137)^BP$4,IF(BP$4&gt;3,$Y84*(1+$C$137)^BP$4)))</f>
        <v>0</v>
      </c>
      <c r="BQ84" s="149">
        <f>IF(BQ$4=0,$P84,IF(BQ$4&lt;4,$U84*(1+$C$137)^BQ$4,IF(BQ$4&gt;3,$Y84*(1+$C$137)^BQ$4)))</f>
        <v>0</v>
      </c>
      <c r="BR84" s="149">
        <f>IF(BR$4=0,$P84,IF(BR$4&lt;4,$U84*(1+$C$137)^BR$4,IF(BR$4&gt;3,$Y84*(1+$C$137)^BR$4)))</f>
        <v>0</v>
      </c>
      <c r="BS84" s="149">
        <f>IF(BS$4=0,$P84,IF(BS$4&lt;4,$U84*(1+$C$137)^BS$4,IF(BS$4&gt;3,$Y84*(1+$C$137)^BS$4)))</f>
        <v>0</v>
      </c>
      <c r="BT84" s="1"/>
      <c r="BU84" s="14"/>
      <c r="BV84" s="93" t="str">
        <f t="shared" si="39"/>
        <v>Interpretation board</v>
      </c>
      <c r="BW84" s="14"/>
      <c r="BX84" s="93"/>
      <c r="BY84" s="14"/>
    </row>
    <row r="85" spans="1:77" ht="3" customHeight="1" x14ac:dyDescent="0.15">
      <c r="A85" s="2"/>
      <c r="B85" s="595"/>
      <c r="C85" s="198"/>
      <c r="D85" s="198"/>
      <c r="E85" s="198"/>
      <c r="F85" s="596"/>
      <c r="G85" s="596"/>
      <c r="H85" s="597"/>
      <c r="I85" s="206"/>
      <c r="J85" s="598"/>
      <c r="K85" s="203"/>
      <c r="L85" s="599"/>
      <c r="M85" s="600"/>
      <c r="N85" s="601"/>
      <c r="O85" s="599"/>
      <c r="P85" s="599"/>
      <c r="Q85" s="208"/>
      <c r="R85" s="208"/>
      <c r="S85" s="208"/>
      <c r="T85" s="602"/>
      <c r="U85" s="599"/>
      <c r="V85" s="198"/>
      <c r="W85" s="198"/>
      <c r="X85" s="207"/>
      <c r="Y85" s="603"/>
      <c r="Z85" s="208"/>
      <c r="AA85" s="599"/>
      <c r="AB85" s="604"/>
      <c r="AC85" s="599"/>
      <c r="AD85" s="599"/>
      <c r="AE85" s="599"/>
      <c r="AF85" s="599"/>
      <c r="AG85" s="599"/>
      <c r="AH85" s="599"/>
      <c r="AI85" s="599"/>
      <c r="AJ85" s="599"/>
      <c r="AK85" s="599"/>
      <c r="AL85" s="599"/>
      <c r="AM85" s="599"/>
      <c r="AN85" s="599"/>
      <c r="AO85" s="599"/>
      <c r="AP85" s="599"/>
      <c r="AQ85" s="599"/>
      <c r="AR85" s="599"/>
      <c r="AS85" s="599"/>
      <c r="AT85" s="599"/>
      <c r="AU85" s="599"/>
      <c r="AV85" s="599"/>
      <c r="AW85" s="599"/>
      <c r="AX85" s="599"/>
      <c r="AY85" s="599"/>
      <c r="AZ85" s="599"/>
      <c r="BA85" s="599"/>
      <c r="BB85" s="599"/>
      <c r="BC85" s="599"/>
      <c r="BD85" s="599"/>
      <c r="BE85" s="599"/>
      <c r="BF85" s="599"/>
      <c r="BG85" s="599"/>
      <c r="BH85" s="599"/>
      <c r="BI85" s="599"/>
      <c r="BJ85" s="599"/>
      <c r="BK85" s="599"/>
      <c r="BL85" s="599"/>
      <c r="BM85" s="599"/>
      <c r="BN85" s="599"/>
      <c r="BO85" s="599"/>
      <c r="BP85" s="599"/>
      <c r="BQ85" s="599"/>
      <c r="BR85" s="599"/>
      <c r="BS85" s="599"/>
      <c r="BT85" s="1"/>
      <c r="BU85" s="2"/>
      <c r="BV85" s="76"/>
      <c r="BW85" s="2"/>
      <c r="BX85" s="76"/>
      <c r="BY85" s="2"/>
    </row>
    <row r="86" spans="1:77" ht="15" x14ac:dyDescent="0.15">
      <c r="A86" s="605"/>
      <c r="B86" s="1103" t="str">
        <f>"Total "&amp;B50&amp;" Expenses (excl General Provisions)"</f>
        <v>Total Landscaping and Biodiversity Expenses (excl General Provisions)</v>
      </c>
      <c r="C86" s="1049"/>
      <c r="D86" s="1049"/>
      <c r="E86" s="606"/>
      <c r="F86" s="607">
        <f t="shared" ref="F86:H86" si="48">SUM(F52:F84)</f>
        <v>65.744</v>
      </c>
      <c r="G86" s="607">
        <f t="shared" si="48"/>
        <v>4.5222460000000009</v>
      </c>
      <c r="H86" s="608">
        <f t="shared" si="48"/>
        <v>14717.000000000002</v>
      </c>
      <c r="I86" s="609"/>
      <c r="J86" s="610"/>
      <c r="K86" s="611"/>
      <c r="L86" s="612">
        <f>SUM(L52:L84)</f>
        <v>223997.364</v>
      </c>
      <c r="M86" s="613"/>
      <c r="N86" s="614"/>
      <c r="O86" s="612">
        <f t="shared" ref="O86:P86" si="49">SUM(O52:O84)</f>
        <v>82254.34</v>
      </c>
      <c r="P86" s="612">
        <f t="shared" si="49"/>
        <v>306251.70400000003</v>
      </c>
      <c r="Q86" s="615"/>
      <c r="R86" s="615"/>
      <c r="S86" s="615"/>
      <c r="T86" s="616"/>
      <c r="U86" s="612">
        <f>SUM(U52:U84)</f>
        <v>16977.085200000001</v>
      </c>
      <c r="V86" s="1081" t="s">
        <v>53</v>
      </c>
      <c r="W86" s="1049"/>
      <c r="X86" s="1049"/>
      <c r="Y86" s="617">
        <f>SUM(Y52:Y84)</f>
        <v>15748.859999999999</v>
      </c>
      <c r="Z86" s="208"/>
      <c r="AA86" s="618">
        <f t="array" ref="AA86">NPV($C$136,AF86:BS86)+AE86</f>
        <v>598596.10912153905</v>
      </c>
      <c r="AB86" s="619"/>
      <c r="AC86" s="618">
        <f t="shared" ref="AC86:BS86" si="50">SUM(AC52:AC84)</f>
        <v>0</v>
      </c>
      <c r="AD86" s="618">
        <f t="shared" si="50"/>
        <v>0</v>
      </c>
      <c r="AE86" s="618">
        <f t="shared" si="50"/>
        <v>306251.70400000003</v>
      </c>
      <c r="AF86" s="618">
        <f t="shared" si="50"/>
        <v>17401.512329999998</v>
      </c>
      <c r="AG86" s="618">
        <f t="shared" si="50"/>
        <v>17836.550138249997</v>
      </c>
      <c r="AH86" s="618">
        <f t="shared" si="50"/>
        <v>18282.463891706251</v>
      </c>
      <c r="AI86" s="618">
        <f t="shared" si="50"/>
        <v>16986.422040023434</v>
      </c>
      <c r="AJ86" s="618">
        <f t="shared" si="50"/>
        <v>17828.572221580664</v>
      </c>
      <c r="AK86" s="618">
        <f t="shared" si="50"/>
        <v>17846.35965579961</v>
      </c>
      <c r="AL86" s="618">
        <f t="shared" si="50"/>
        <v>18292.518647194607</v>
      </c>
      <c r="AM86" s="618">
        <f t="shared" si="50"/>
        <v>18749.83161337447</v>
      </c>
      <c r="AN86" s="618">
        <f t="shared" si="50"/>
        <v>19218.577403708827</v>
      </c>
      <c r="AO86" s="618">
        <f t="shared" si="50"/>
        <v>19699.041838801557</v>
      </c>
      <c r="AP86" s="618">
        <f t="shared" si="50"/>
        <v>20191.517884771587</v>
      </c>
      <c r="AQ86" s="618">
        <f t="shared" si="50"/>
        <v>20696.305831890888</v>
      </c>
      <c r="AR86" s="618">
        <f t="shared" si="50"/>
        <v>21213.71347768815</v>
      </c>
      <c r="AS86" s="618">
        <f t="shared" si="50"/>
        <v>21744.056314630354</v>
      </c>
      <c r="AT86" s="618">
        <f t="shared" si="50"/>
        <v>22287.657722496118</v>
      </c>
      <c r="AU86" s="618">
        <f t="shared" si="50"/>
        <v>22844.84916555852</v>
      </c>
      <c r="AV86" s="618">
        <f t="shared" si="50"/>
        <v>23415.970394697466</v>
      </c>
      <c r="AW86" s="618">
        <f t="shared" si="50"/>
        <v>24001.369654564918</v>
      </c>
      <c r="AX86" s="618">
        <f t="shared" si="50"/>
        <v>24601.40389592903</v>
      </c>
      <c r="AY86" s="618">
        <f t="shared" si="50"/>
        <v>25216.438993327254</v>
      </c>
      <c r="AZ86" s="618">
        <f t="shared" si="50"/>
        <v>25846.84996816043</v>
      </c>
      <c r="BA86" s="618">
        <f t="shared" si="50"/>
        <v>26493.021217364447</v>
      </c>
      <c r="BB86" s="618">
        <f t="shared" si="50"/>
        <v>27155.346747798561</v>
      </c>
      <c r="BC86" s="618">
        <f t="shared" si="50"/>
        <v>27834.230416493519</v>
      </c>
      <c r="BD86" s="618">
        <f t="shared" si="50"/>
        <v>28530.086176905854</v>
      </c>
      <c r="BE86" s="618">
        <f t="shared" si="50"/>
        <v>29243.338331328498</v>
      </c>
      <c r="BF86" s="618">
        <f t="shared" si="50"/>
        <v>29974.421789611701</v>
      </c>
      <c r="BG86" s="618">
        <f t="shared" si="50"/>
        <v>30723.782334351996</v>
      </c>
      <c r="BH86" s="618">
        <f t="shared" si="50"/>
        <v>31491.876892710803</v>
      </c>
      <c r="BI86" s="618">
        <f t="shared" si="50"/>
        <v>32279.173815028564</v>
      </c>
      <c r="BJ86" s="618">
        <f t="shared" si="50"/>
        <v>33086.153160404298</v>
      </c>
      <c r="BK86" s="618">
        <f t="shared" si="50"/>
        <v>33913.306989414385</v>
      </c>
      <c r="BL86" s="618">
        <f t="shared" si="50"/>
        <v>34761.139664149741</v>
      </c>
      <c r="BM86" s="618">
        <f t="shared" si="50"/>
        <v>35630.168155753498</v>
      </c>
      <c r="BN86" s="618">
        <f t="shared" si="50"/>
        <v>36520.922359647317</v>
      </c>
      <c r="BO86" s="618">
        <f t="shared" si="50"/>
        <v>37433.945418638505</v>
      </c>
      <c r="BP86" s="618">
        <f t="shared" si="50"/>
        <v>38369.794054104459</v>
      </c>
      <c r="BQ86" s="618">
        <f t="shared" si="50"/>
        <v>39329.03890545707</v>
      </c>
      <c r="BR86" s="618">
        <f t="shared" si="50"/>
        <v>40312.264878093491</v>
      </c>
      <c r="BS86" s="618">
        <f t="shared" si="50"/>
        <v>41320.071500045837</v>
      </c>
      <c r="BT86" s="302"/>
      <c r="BU86" s="605"/>
      <c r="BV86" s="620"/>
      <c r="BW86" s="605"/>
      <c r="BX86" s="620"/>
      <c r="BY86" s="605"/>
    </row>
    <row r="87" spans="1:77" ht="4.5" customHeight="1" x14ac:dyDescent="0.15">
      <c r="A87" s="605"/>
      <c r="B87" s="318"/>
      <c r="C87" s="291"/>
      <c r="D87" s="291"/>
      <c r="E87" s="291"/>
      <c r="F87" s="379"/>
      <c r="G87" s="379"/>
      <c r="H87" s="621"/>
      <c r="I87" s="620"/>
      <c r="J87" s="622"/>
      <c r="K87" s="623"/>
      <c r="L87" s="624"/>
      <c r="M87" s="625"/>
      <c r="N87" s="626"/>
      <c r="O87" s="624"/>
      <c r="P87" s="627"/>
      <c r="Q87" s="302"/>
      <c r="R87" s="302"/>
      <c r="S87" s="302"/>
      <c r="T87" s="628"/>
      <c r="U87" s="627"/>
      <c r="V87" s="291"/>
      <c r="W87" s="291"/>
      <c r="X87" s="629"/>
      <c r="Y87" s="630"/>
      <c r="Z87" s="1"/>
      <c r="AA87" s="631"/>
      <c r="AB87" s="74"/>
      <c r="AC87" s="632"/>
      <c r="AD87" s="632"/>
      <c r="AE87" s="632"/>
      <c r="AF87" s="632"/>
      <c r="AG87" s="632"/>
      <c r="AH87" s="632"/>
      <c r="AI87" s="632"/>
      <c r="AJ87" s="632"/>
      <c r="AK87" s="632"/>
      <c r="AL87" s="632"/>
      <c r="AM87" s="632"/>
      <c r="AN87" s="632"/>
      <c r="AO87" s="632"/>
      <c r="AP87" s="632"/>
      <c r="AQ87" s="632"/>
      <c r="AR87" s="632"/>
      <c r="AS87" s="632"/>
      <c r="AT87" s="632"/>
      <c r="AU87" s="632"/>
      <c r="AV87" s="632"/>
      <c r="AW87" s="632"/>
      <c r="AX87" s="632"/>
      <c r="AY87" s="632"/>
      <c r="AZ87" s="632"/>
      <c r="BA87" s="632"/>
      <c r="BB87" s="632"/>
      <c r="BC87" s="632"/>
      <c r="BD87" s="632"/>
      <c r="BE87" s="632"/>
      <c r="BF87" s="632"/>
      <c r="BG87" s="632"/>
      <c r="BH87" s="632"/>
      <c r="BI87" s="632"/>
      <c r="BJ87" s="632"/>
      <c r="BK87" s="632"/>
      <c r="BL87" s="632"/>
      <c r="BM87" s="632"/>
      <c r="BN87" s="632"/>
      <c r="BO87" s="632"/>
      <c r="BP87" s="632"/>
      <c r="BQ87" s="632"/>
      <c r="BR87" s="632"/>
      <c r="BS87" s="632"/>
      <c r="BT87" s="302"/>
      <c r="BU87" s="605"/>
      <c r="BV87" s="620"/>
      <c r="BW87" s="605"/>
      <c r="BX87" s="620"/>
      <c r="BY87" s="605"/>
    </row>
    <row r="88" spans="1:77" ht="15.75" customHeight="1" x14ac:dyDescent="0.15">
      <c r="A88" s="633"/>
      <c r="B88" s="269" t="s">
        <v>144</v>
      </c>
      <c r="C88" s="270"/>
      <c r="D88" s="270"/>
      <c r="E88" s="270"/>
      <c r="F88" s="634"/>
      <c r="G88" s="634"/>
      <c r="H88" s="635">
        <v>0.05</v>
      </c>
      <c r="I88" s="636"/>
      <c r="J88" s="637"/>
      <c r="K88" s="638"/>
      <c r="L88" s="639">
        <f>L86*$H$88</f>
        <v>11199.868200000001</v>
      </c>
      <c r="M88" s="640"/>
      <c r="N88" s="641"/>
      <c r="O88" s="639">
        <f>O86*$H$88</f>
        <v>4112.7169999999996</v>
      </c>
      <c r="P88" s="639">
        <f>L88+O88</f>
        <v>15312.585200000001</v>
      </c>
      <c r="Q88" s="642" t="s">
        <v>117</v>
      </c>
      <c r="R88" s="642" t="s">
        <v>117</v>
      </c>
      <c r="S88" s="642" t="s">
        <v>117</v>
      </c>
      <c r="T88" s="643" t="s">
        <v>117</v>
      </c>
      <c r="U88" s="639">
        <f>U86*$H$88</f>
        <v>848.85426000000007</v>
      </c>
      <c r="V88" s="644" t="s">
        <v>117</v>
      </c>
      <c r="W88" s="644" t="s">
        <v>117</v>
      </c>
      <c r="X88" s="645" t="s">
        <v>117</v>
      </c>
      <c r="Y88" s="646">
        <f>Y86*$H$88</f>
        <v>787.44299999999998</v>
      </c>
      <c r="Z88" s="289"/>
      <c r="AA88" s="647">
        <f t="array" ref="AA88">NPV($C$136,AF88:BS88)+AE88</f>
        <v>25971.708561099505</v>
      </c>
      <c r="AB88" s="648"/>
      <c r="AC88" s="649"/>
      <c r="AD88" s="649"/>
      <c r="AE88" s="650">
        <f t="shared" ref="AE88:BS88" si="51">IF(AE$4=0,$P88,IF(AE$4&lt;4,$U88,IF(AE$4&gt;3,$Y88)))</f>
        <v>15312.585200000001</v>
      </c>
      <c r="AF88" s="650">
        <f t="shared" si="51"/>
        <v>848.85426000000007</v>
      </c>
      <c r="AG88" s="650">
        <f t="shared" si="51"/>
        <v>848.85426000000007</v>
      </c>
      <c r="AH88" s="650">
        <f t="shared" si="51"/>
        <v>848.85426000000007</v>
      </c>
      <c r="AI88" s="650">
        <f t="shared" si="51"/>
        <v>787.44299999999998</v>
      </c>
      <c r="AJ88" s="650">
        <f t="shared" si="51"/>
        <v>787.44299999999998</v>
      </c>
      <c r="AK88" s="650">
        <f t="shared" si="51"/>
        <v>787.44299999999998</v>
      </c>
      <c r="AL88" s="650">
        <f t="shared" si="51"/>
        <v>787.44299999999998</v>
      </c>
      <c r="AM88" s="650">
        <f t="shared" si="51"/>
        <v>787.44299999999998</v>
      </c>
      <c r="AN88" s="650">
        <f t="shared" si="51"/>
        <v>787.44299999999998</v>
      </c>
      <c r="AO88" s="650">
        <f t="shared" si="51"/>
        <v>787.44299999999998</v>
      </c>
      <c r="AP88" s="650">
        <f t="shared" si="51"/>
        <v>787.44299999999998</v>
      </c>
      <c r="AQ88" s="650">
        <f t="shared" si="51"/>
        <v>787.44299999999998</v>
      </c>
      <c r="AR88" s="650">
        <f t="shared" si="51"/>
        <v>787.44299999999998</v>
      </c>
      <c r="AS88" s="650">
        <f t="shared" si="51"/>
        <v>787.44299999999998</v>
      </c>
      <c r="AT88" s="650">
        <f t="shared" si="51"/>
        <v>787.44299999999998</v>
      </c>
      <c r="AU88" s="650">
        <f t="shared" si="51"/>
        <v>787.44299999999998</v>
      </c>
      <c r="AV88" s="650">
        <f t="shared" si="51"/>
        <v>787.44299999999998</v>
      </c>
      <c r="AW88" s="650">
        <f t="shared" si="51"/>
        <v>787.44299999999998</v>
      </c>
      <c r="AX88" s="650">
        <f t="shared" si="51"/>
        <v>787.44299999999998</v>
      </c>
      <c r="AY88" s="650">
        <f t="shared" si="51"/>
        <v>787.44299999999998</v>
      </c>
      <c r="AZ88" s="650">
        <f t="shared" si="51"/>
        <v>787.44299999999998</v>
      </c>
      <c r="BA88" s="650">
        <f t="shared" si="51"/>
        <v>787.44299999999998</v>
      </c>
      <c r="BB88" s="650">
        <f t="shared" si="51"/>
        <v>787.44299999999998</v>
      </c>
      <c r="BC88" s="650">
        <f t="shared" si="51"/>
        <v>787.44299999999998</v>
      </c>
      <c r="BD88" s="650">
        <f t="shared" si="51"/>
        <v>787.44299999999998</v>
      </c>
      <c r="BE88" s="650">
        <f t="shared" si="51"/>
        <v>787.44299999999998</v>
      </c>
      <c r="BF88" s="650">
        <f t="shared" si="51"/>
        <v>787.44299999999998</v>
      </c>
      <c r="BG88" s="650">
        <f t="shared" si="51"/>
        <v>787.44299999999998</v>
      </c>
      <c r="BH88" s="650">
        <f t="shared" si="51"/>
        <v>787.44299999999998</v>
      </c>
      <c r="BI88" s="650">
        <f t="shared" si="51"/>
        <v>787.44299999999998</v>
      </c>
      <c r="BJ88" s="650">
        <f t="shared" si="51"/>
        <v>787.44299999999998</v>
      </c>
      <c r="BK88" s="650">
        <f t="shared" si="51"/>
        <v>787.44299999999998</v>
      </c>
      <c r="BL88" s="650">
        <f t="shared" si="51"/>
        <v>787.44299999999998</v>
      </c>
      <c r="BM88" s="650">
        <f t="shared" si="51"/>
        <v>787.44299999999998</v>
      </c>
      <c r="BN88" s="650">
        <f t="shared" si="51"/>
        <v>787.44299999999998</v>
      </c>
      <c r="BO88" s="650">
        <f t="shared" si="51"/>
        <v>787.44299999999998</v>
      </c>
      <c r="BP88" s="650">
        <f t="shared" si="51"/>
        <v>787.44299999999998</v>
      </c>
      <c r="BQ88" s="650">
        <f t="shared" si="51"/>
        <v>787.44299999999998</v>
      </c>
      <c r="BR88" s="650">
        <f t="shared" si="51"/>
        <v>787.44299999999998</v>
      </c>
      <c r="BS88" s="650">
        <f t="shared" si="51"/>
        <v>787.44299999999998</v>
      </c>
      <c r="BT88" s="287"/>
      <c r="BU88" s="633"/>
      <c r="BV88" s="651" t="str">
        <f>B88</f>
        <v>General Provisions</v>
      </c>
      <c r="BW88" s="633"/>
      <c r="BX88" s="636"/>
      <c r="BY88" s="633"/>
    </row>
    <row r="89" spans="1:77" ht="4.5" customHeight="1" x14ac:dyDescent="0.15">
      <c r="A89" s="605"/>
      <c r="B89" s="318"/>
      <c r="C89" s="291"/>
      <c r="D89" s="291"/>
      <c r="E89" s="291"/>
      <c r="F89" s="379"/>
      <c r="G89" s="379"/>
      <c r="H89" s="621"/>
      <c r="I89" s="620"/>
      <c r="J89" s="622"/>
      <c r="K89" s="623"/>
      <c r="L89" s="624"/>
      <c r="M89" s="625"/>
      <c r="N89" s="626"/>
      <c r="O89" s="624"/>
      <c r="P89" s="627"/>
      <c r="Q89" s="652"/>
      <c r="R89" s="652"/>
      <c r="S89" s="652"/>
      <c r="T89" s="653"/>
      <c r="U89" s="627"/>
      <c r="V89" s="654"/>
      <c r="W89" s="654"/>
      <c r="X89" s="655"/>
      <c r="Y89" s="630"/>
      <c r="Z89" s="1"/>
      <c r="AA89" s="631"/>
      <c r="AB89" s="74"/>
      <c r="AC89" s="632"/>
      <c r="AD89" s="632"/>
      <c r="AE89" s="632"/>
      <c r="AF89" s="632"/>
      <c r="AG89" s="632"/>
      <c r="AH89" s="632"/>
      <c r="AI89" s="632"/>
      <c r="AJ89" s="632"/>
      <c r="AK89" s="632"/>
      <c r="AL89" s="632"/>
      <c r="AM89" s="632"/>
      <c r="AN89" s="632"/>
      <c r="AO89" s="632"/>
      <c r="AP89" s="632"/>
      <c r="AQ89" s="632"/>
      <c r="AR89" s="632"/>
      <c r="AS89" s="632"/>
      <c r="AT89" s="632"/>
      <c r="AU89" s="632"/>
      <c r="AV89" s="632"/>
      <c r="AW89" s="632"/>
      <c r="AX89" s="632"/>
      <c r="AY89" s="632"/>
      <c r="AZ89" s="632"/>
      <c r="BA89" s="632"/>
      <c r="BB89" s="632"/>
      <c r="BC89" s="632"/>
      <c r="BD89" s="632"/>
      <c r="BE89" s="632"/>
      <c r="BF89" s="632"/>
      <c r="BG89" s="632"/>
      <c r="BH89" s="632"/>
      <c r="BI89" s="632"/>
      <c r="BJ89" s="632"/>
      <c r="BK89" s="632"/>
      <c r="BL89" s="632"/>
      <c r="BM89" s="632"/>
      <c r="BN89" s="632"/>
      <c r="BO89" s="632"/>
      <c r="BP89" s="632"/>
      <c r="BQ89" s="632"/>
      <c r="BR89" s="632"/>
      <c r="BS89" s="632"/>
      <c r="BT89" s="302"/>
      <c r="BU89" s="605"/>
      <c r="BV89" s="620"/>
      <c r="BW89" s="605"/>
      <c r="BX89" s="620"/>
      <c r="BY89" s="605"/>
    </row>
    <row r="90" spans="1:77" ht="15.75" customHeight="1" x14ac:dyDescent="0.15">
      <c r="A90" s="656"/>
      <c r="B90" s="657" t="str">
        <f>B113</f>
        <v>Grants/Reductions</v>
      </c>
      <c r="C90" s="658"/>
      <c r="D90" s="658"/>
      <c r="E90" s="658"/>
      <c r="F90" s="659"/>
      <c r="G90" s="659"/>
      <c r="H90" s="660"/>
      <c r="I90" s="654" t="s">
        <v>117</v>
      </c>
      <c r="J90" s="661" t="s">
        <v>117</v>
      </c>
      <c r="K90" s="662" t="s">
        <v>117</v>
      </c>
      <c r="L90" s="663">
        <f>SUMIF($BV$108:$BV$122, $B90,L$108:L$122)</f>
        <v>-25000</v>
      </c>
      <c r="M90" s="664"/>
      <c r="N90" s="665"/>
      <c r="O90" s="663">
        <f>SUMIF($BV$108:$BV$122, $B90,O$108:O$122)</f>
        <v>0</v>
      </c>
      <c r="P90" s="663">
        <f>L90+O90</f>
        <v>-25000</v>
      </c>
      <c r="Q90" s="661" t="s">
        <v>117</v>
      </c>
      <c r="R90" s="661" t="s">
        <v>117</v>
      </c>
      <c r="S90" s="661" t="s">
        <v>117</v>
      </c>
      <c r="T90" s="666" t="s">
        <v>117</v>
      </c>
      <c r="U90" s="663">
        <f>SUMIF($BV$108:$BV$122, $B90,U$108:U$122)</f>
        <v>0</v>
      </c>
      <c r="V90" s="654" t="s">
        <v>117</v>
      </c>
      <c r="W90" s="654" t="s">
        <v>117</v>
      </c>
      <c r="X90" s="655" t="s">
        <v>117</v>
      </c>
      <c r="Y90" s="667">
        <f>SUMIF($BV$108:$BV$122, $B90,Y$108:Y$122)</f>
        <v>0</v>
      </c>
      <c r="Z90" s="668"/>
      <c r="AA90" s="669">
        <f t="array" ref="AA90">NPV($C$136,AF90:BS90)+AE90</f>
        <v>-25000</v>
      </c>
      <c r="AB90" s="670"/>
      <c r="AC90" s="671"/>
      <c r="AD90" s="671"/>
      <c r="AE90" s="672">
        <f t="shared" ref="AE90:BS90" si="52">IF(AE$4=0,$P90,IF(AE$4&lt;4,$U90,IF(AE$4&gt;3,$Y90)))</f>
        <v>-25000</v>
      </c>
      <c r="AF90" s="673">
        <f t="shared" si="52"/>
        <v>0</v>
      </c>
      <c r="AG90" s="673">
        <f t="shared" si="52"/>
        <v>0</v>
      </c>
      <c r="AH90" s="673">
        <f t="shared" si="52"/>
        <v>0</v>
      </c>
      <c r="AI90" s="673">
        <f t="shared" si="52"/>
        <v>0</v>
      </c>
      <c r="AJ90" s="673">
        <f t="shared" si="52"/>
        <v>0</v>
      </c>
      <c r="AK90" s="673">
        <f t="shared" si="52"/>
        <v>0</v>
      </c>
      <c r="AL90" s="673">
        <f t="shared" si="52"/>
        <v>0</v>
      </c>
      <c r="AM90" s="673">
        <f t="shared" si="52"/>
        <v>0</v>
      </c>
      <c r="AN90" s="673">
        <f t="shared" si="52"/>
        <v>0</v>
      </c>
      <c r="AO90" s="673">
        <f t="shared" si="52"/>
        <v>0</v>
      </c>
      <c r="AP90" s="673">
        <f t="shared" si="52"/>
        <v>0</v>
      </c>
      <c r="AQ90" s="673">
        <f t="shared" si="52"/>
        <v>0</v>
      </c>
      <c r="AR90" s="673">
        <f t="shared" si="52"/>
        <v>0</v>
      </c>
      <c r="AS90" s="673">
        <f t="shared" si="52"/>
        <v>0</v>
      </c>
      <c r="AT90" s="673">
        <f t="shared" si="52"/>
        <v>0</v>
      </c>
      <c r="AU90" s="673">
        <f t="shared" si="52"/>
        <v>0</v>
      </c>
      <c r="AV90" s="673">
        <f t="shared" si="52"/>
        <v>0</v>
      </c>
      <c r="AW90" s="673">
        <f t="shared" si="52"/>
        <v>0</v>
      </c>
      <c r="AX90" s="673">
        <f t="shared" si="52"/>
        <v>0</v>
      </c>
      <c r="AY90" s="673">
        <f t="shared" si="52"/>
        <v>0</v>
      </c>
      <c r="AZ90" s="673">
        <f t="shared" si="52"/>
        <v>0</v>
      </c>
      <c r="BA90" s="673">
        <f t="shared" si="52"/>
        <v>0</v>
      </c>
      <c r="BB90" s="673">
        <f t="shared" si="52"/>
        <v>0</v>
      </c>
      <c r="BC90" s="673">
        <f t="shared" si="52"/>
        <v>0</v>
      </c>
      <c r="BD90" s="673">
        <f t="shared" si="52"/>
        <v>0</v>
      </c>
      <c r="BE90" s="673">
        <f t="shared" si="52"/>
        <v>0</v>
      </c>
      <c r="BF90" s="673">
        <f t="shared" si="52"/>
        <v>0</v>
      </c>
      <c r="BG90" s="673">
        <f t="shared" si="52"/>
        <v>0</v>
      </c>
      <c r="BH90" s="673">
        <f t="shared" si="52"/>
        <v>0</v>
      </c>
      <c r="BI90" s="673">
        <f t="shared" si="52"/>
        <v>0</v>
      </c>
      <c r="BJ90" s="673">
        <f t="shared" si="52"/>
        <v>0</v>
      </c>
      <c r="BK90" s="673">
        <f t="shared" si="52"/>
        <v>0</v>
      </c>
      <c r="BL90" s="673">
        <f t="shared" si="52"/>
        <v>0</v>
      </c>
      <c r="BM90" s="673">
        <f t="shared" si="52"/>
        <v>0</v>
      </c>
      <c r="BN90" s="673">
        <f t="shared" si="52"/>
        <v>0</v>
      </c>
      <c r="BO90" s="673">
        <f t="shared" si="52"/>
        <v>0</v>
      </c>
      <c r="BP90" s="673">
        <f t="shared" si="52"/>
        <v>0</v>
      </c>
      <c r="BQ90" s="673">
        <f t="shared" si="52"/>
        <v>0</v>
      </c>
      <c r="BR90" s="673">
        <f t="shared" si="52"/>
        <v>0</v>
      </c>
      <c r="BS90" s="673">
        <f t="shared" si="52"/>
        <v>0</v>
      </c>
      <c r="BT90" s="674"/>
      <c r="BU90" s="656"/>
      <c r="BV90" s="675"/>
      <c r="BW90" s="656"/>
      <c r="BX90" s="676"/>
      <c r="BY90" s="656"/>
    </row>
    <row r="91" spans="1:77" ht="5.25" customHeight="1" x14ac:dyDescent="0.15">
      <c r="A91" s="605"/>
      <c r="B91" s="318"/>
      <c r="C91" s="291"/>
      <c r="D91" s="291"/>
      <c r="E91" s="291"/>
      <c r="F91" s="379"/>
      <c r="G91" s="379"/>
      <c r="H91" s="621"/>
      <c r="I91" s="620"/>
      <c r="J91" s="622"/>
      <c r="K91" s="623"/>
      <c r="L91" s="624"/>
      <c r="M91" s="625"/>
      <c r="N91" s="626"/>
      <c r="O91" s="624"/>
      <c r="P91" s="627"/>
      <c r="Q91" s="302"/>
      <c r="R91" s="302"/>
      <c r="S91" s="302"/>
      <c r="T91" s="628"/>
      <c r="U91" s="627"/>
      <c r="V91" s="291"/>
      <c r="W91" s="291"/>
      <c r="X91" s="629"/>
      <c r="Y91" s="630"/>
      <c r="Z91" s="1"/>
      <c r="AA91" s="631"/>
      <c r="AB91" s="74"/>
      <c r="AC91" s="632"/>
      <c r="AD91" s="632"/>
      <c r="AE91" s="632"/>
      <c r="AF91" s="632"/>
      <c r="AG91" s="632"/>
      <c r="AH91" s="632"/>
      <c r="AI91" s="632"/>
      <c r="AJ91" s="632"/>
      <c r="AK91" s="632"/>
      <c r="AL91" s="632"/>
      <c r="AM91" s="632"/>
      <c r="AN91" s="632"/>
      <c r="AO91" s="632"/>
      <c r="AP91" s="632"/>
      <c r="AQ91" s="632"/>
      <c r="AR91" s="632"/>
      <c r="AS91" s="632"/>
      <c r="AT91" s="632"/>
      <c r="AU91" s="632"/>
      <c r="AV91" s="632"/>
      <c r="AW91" s="632"/>
      <c r="AX91" s="632"/>
      <c r="AY91" s="632"/>
      <c r="AZ91" s="632"/>
      <c r="BA91" s="632"/>
      <c r="BB91" s="632"/>
      <c r="BC91" s="632"/>
      <c r="BD91" s="632"/>
      <c r="BE91" s="632"/>
      <c r="BF91" s="632"/>
      <c r="BG91" s="632"/>
      <c r="BH91" s="632"/>
      <c r="BI91" s="632"/>
      <c r="BJ91" s="632"/>
      <c r="BK91" s="632"/>
      <c r="BL91" s="632"/>
      <c r="BM91" s="632"/>
      <c r="BN91" s="632"/>
      <c r="BO91" s="632"/>
      <c r="BP91" s="632"/>
      <c r="BQ91" s="632"/>
      <c r="BR91" s="632"/>
      <c r="BS91" s="632"/>
      <c r="BT91" s="302"/>
      <c r="BU91" s="605"/>
      <c r="BV91" s="620"/>
      <c r="BW91" s="605"/>
      <c r="BX91" s="620"/>
      <c r="BY91" s="605"/>
    </row>
    <row r="92" spans="1:77" ht="16" x14ac:dyDescent="0.15">
      <c r="A92" s="605"/>
      <c r="B92" s="1090" t="str">
        <f>"Total "&amp;B50&amp;" Expenses"</f>
        <v>Total Landscaping and Biodiversity Expenses</v>
      </c>
      <c r="C92" s="1049"/>
      <c r="D92" s="1049"/>
      <c r="E92" s="677"/>
      <c r="F92" s="678"/>
      <c r="G92" s="678"/>
      <c r="H92" s="679"/>
      <c r="I92" s="680"/>
      <c r="J92" s="681"/>
      <c r="K92" s="682"/>
      <c r="L92" s="683">
        <f>L86+L88+L90</f>
        <v>210197.2322</v>
      </c>
      <c r="M92" s="684"/>
      <c r="N92" s="685"/>
      <c r="O92" s="683">
        <f t="shared" ref="O92:P92" si="53">O86+O88+O90</f>
        <v>86367.057000000001</v>
      </c>
      <c r="P92" s="683">
        <f t="shared" si="53"/>
        <v>296564.2892</v>
      </c>
      <c r="Q92" s="686"/>
      <c r="R92" s="686"/>
      <c r="S92" s="686"/>
      <c r="T92" s="687"/>
      <c r="U92" s="683">
        <f>U86+U88+U90</f>
        <v>17825.939460000001</v>
      </c>
      <c r="V92" s="1089" t="s">
        <v>53</v>
      </c>
      <c r="W92" s="1049"/>
      <c r="X92" s="1049"/>
      <c r="Y92" s="688">
        <f>Y86+Y88+Y90</f>
        <v>16536.303</v>
      </c>
      <c r="Z92" s="208"/>
      <c r="AA92" s="689">
        <f>AA86+AA88+AA90</f>
        <v>599567.81768263853</v>
      </c>
      <c r="AB92" s="604"/>
      <c r="AC92" s="689">
        <f t="shared" ref="AC92:BS92" si="54">AC86+AC88+AC90</f>
        <v>0</v>
      </c>
      <c r="AD92" s="689">
        <f t="shared" si="54"/>
        <v>0</v>
      </c>
      <c r="AE92" s="689">
        <f t="shared" si="54"/>
        <v>296564.2892</v>
      </c>
      <c r="AF92" s="689">
        <f t="shared" si="54"/>
        <v>18250.366589999998</v>
      </c>
      <c r="AG92" s="689">
        <f t="shared" si="54"/>
        <v>18685.404398249997</v>
      </c>
      <c r="AH92" s="689">
        <f t="shared" si="54"/>
        <v>19131.318151706251</v>
      </c>
      <c r="AI92" s="689">
        <f t="shared" si="54"/>
        <v>17773.865040023433</v>
      </c>
      <c r="AJ92" s="689">
        <f t="shared" si="54"/>
        <v>18616.015221580663</v>
      </c>
      <c r="AK92" s="689">
        <f t="shared" si="54"/>
        <v>18633.802655799609</v>
      </c>
      <c r="AL92" s="689">
        <f t="shared" si="54"/>
        <v>19079.961647194606</v>
      </c>
      <c r="AM92" s="689">
        <f t="shared" si="54"/>
        <v>19537.274613374469</v>
      </c>
      <c r="AN92" s="689">
        <f t="shared" si="54"/>
        <v>20006.020403708826</v>
      </c>
      <c r="AO92" s="689">
        <f t="shared" si="54"/>
        <v>20486.484838801556</v>
      </c>
      <c r="AP92" s="689">
        <f t="shared" si="54"/>
        <v>20978.960884771586</v>
      </c>
      <c r="AQ92" s="689">
        <f t="shared" si="54"/>
        <v>21483.748831890887</v>
      </c>
      <c r="AR92" s="689">
        <f t="shared" si="54"/>
        <v>22001.15647768815</v>
      </c>
      <c r="AS92" s="689">
        <f t="shared" si="54"/>
        <v>22531.499314630353</v>
      </c>
      <c r="AT92" s="689">
        <f t="shared" si="54"/>
        <v>23075.100722496118</v>
      </c>
      <c r="AU92" s="689">
        <f t="shared" si="54"/>
        <v>23632.29216555852</v>
      </c>
      <c r="AV92" s="689">
        <f t="shared" si="54"/>
        <v>24203.413394697465</v>
      </c>
      <c r="AW92" s="689">
        <f t="shared" si="54"/>
        <v>24788.812654564917</v>
      </c>
      <c r="AX92" s="689">
        <f t="shared" si="54"/>
        <v>25388.846895929029</v>
      </c>
      <c r="AY92" s="689">
        <f t="shared" si="54"/>
        <v>26003.881993327253</v>
      </c>
      <c r="AZ92" s="689">
        <f t="shared" si="54"/>
        <v>26634.292968160429</v>
      </c>
      <c r="BA92" s="689">
        <f t="shared" si="54"/>
        <v>27280.464217364446</v>
      </c>
      <c r="BB92" s="689">
        <f t="shared" si="54"/>
        <v>27942.789747798561</v>
      </c>
      <c r="BC92" s="689">
        <f t="shared" si="54"/>
        <v>28621.673416493519</v>
      </c>
      <c r="BD92" s="689">
        <f t="shared" si="54"/>
        <v>29317.529176905853</v>
      </c>
      <c r="BE92" s="689">
        <f t="shared" si="54"/>
        <v>30030.781331328497</v>
      </c>
      <c r="BF92" s="689">
        <f t="shared" si="54"/>
        <v>30761.8647896117</v>
      </c>
      <c r="BG92" s="689">
        <f t="shared" si="54"/>
        <v>31511.225334351995</v>
      </c>
      <c r="BH92" s="689">
        <f t="shared" si="54"/>
        <v>32279.319892710802</v>
      </c>
      <c r="BI92" s="689">
        <f t="shared" si="54"/>
        <v>33066.616815028567</v>
      </c>
      <c r="BJ92" s="689">
        <f t="shared" si="54"/>
        <v>33873.596160404297</v>
      </c>
      <c r="BK92" s="689">
        <f t="shared" si="54"/>
        <v>34700.749989414384</v>
      </c>
      <c r="BL92" s="689">
        <f t="shared" si="54"/>
        <v>35548.582664149741</v>
      </c>
      <c r="BM92" s="689">
        <f t="shared" si="54"/>
        <v>36417.611155753497</v>
      </c>
      <c r="BN92" s="689">
        <f t="shared" si="54"/>
        <v>37308.365359647316</v>
      </c>
      <c r="BO92" s="689">
        <f t="shared" si="54"/>
        <v>38221.388418638504</v>
      </c>
      <c r="BP92" s="689">
        <f t="shared" si="54"/>
        <v>39157.237054104458</v>
      </c>
      <c r="BQ92" s="689">
        <f t="shared" si="54"/>
        <v>40116.481905457069</v>
      </c>
      <c r="BR92" s="689">
        <f t="shared" si="54"/>
        <v>41099.70787809349</v>
      </c>
      <c r="BS92" s="689">
        <f t="shared" si="54"/>
        <v>42107.514500045836</v>
      </c>
      <c r="BT92" s="302"/>
      <c r="BU92" s="605"/>
      <c r="BV92" s="690" t="s">
        <v>50</v>
      </c>
      <c r="BW92" s="605"/>
      <c r="BX92" s="620"/>
      <c r="BY92" s="605"/>
    </row>
    <row r="93" spans="1:77" ht="5.25" customHeight="1" x14ac:dyDescent="0.15">
      <c r="A93" s="605"/>
      <c r="B93" s="691"/>
      <c r="C93" s="692"/>
      <c r="D93" s="692"/>
      <c r="E93" s="692"/>
      <c r="F93" s="693"/>
      <c r="G93" s="693"/>
      <c r="H93" s="694"/>
      <c r="I93" s="695"/>
      <c r="J93" s="696"/>
      <c r="K93" s="697"/>
      <c r="L93" s="697"/>
      <c r="M93" s="698"/>
      <c r="N93" s="699"/>
      <c r="O93" s="697"/>
      <c r="P93" s="700"/>
      <c r="Q93" s="701"/>
      <c r="R93" s="701"/>
      <c r="S93" s="701"/>
      <c r="T93" s="702"/>
      <c r="U93" s="700"/>
      <c r="V93" s="692"/>
      <c r="W93" s="692"/>
      <c r="X93" s="703"/>
      <c r="Y93" s="704"/>
      <c r="Z93" s="1"/>
      <c r="AA93" s="631"/>
      <c r="AB93" s="631"/>
      <c r="AC93" s="632"/>
      <c r="AD93" s="632"/>
      <c r="AE93" s="632"/>
      <c r="AF93" s="632"/>
      <c r="AG93" s="632"/>
      <c r="AH93" s="632"/>
      <c r="AI93" s="632"/>
      <c r="AJ93" s="632"/>
      <c r="AK93" s="632"/>
      <c r="AL93" s="632"/>
      <c r="AM93" s="632"/>
      <c r="AN93" s="632"/>
      <c r="AO93" s="632"/>
      <c r="AP93" s="632"/>
      <c r="AQ93" s="632"/>
      <c r="AR93" s="632"/>
      <c r="AS93" s="632"/>
      <c r="AT93" s="632"/>
      <c r="AU93" s="632"/>
      <c r="AV93" s="632"/>
      <c r="AW93" s="632"/>
      <c r="AX93" s="632"/>
      <c r="AY93" s="632"/>
      <c r="AZ93" s="632"/>
      <c r="BA93" s="632"/>
      <c r="BB93" s="632"/>
      <c r="BC93" s="632"/>
      <c r="BD93" s="632"/>
      <c r="BE93" s="632"/>
      <c r="BF93" s="632"/>
      <c r="BG93" s="632"/>
      <c r="BH93" s="632"/>
      <c r="BI93" s="632"/>
      <c r="BJ93" s="632"/>
      <c r="BK93" s="632"/>
      <c r="BL93" s="632"/>
      <c r="BM93" s="632"/>
      <c r="BN93" s="632"/>
      <c r="BO93" s="632"/>
      <c r="BP93" s="632"/>
      <c r="BQ93" s="632"/>
      <c r="BR93" s="632"/>
      <c r="BS93" s="632"/>
      <c r="BT93" s="302"/>
      <c r="BU93" s="605"/>
      <c r="BV93" s="620"/>
      <c r="BW93" s="605"/>
      <c r="BX93" s="620"/>
      <c r="BY93" s="605"/>
    </row>
    <row r="94" spans="1:77" ht="14.25" customHeight="1" x14ac:dyDescent="0.15">
      <c r="A94" s="14"/>
      <c r="B94" s="705"/>
      <c r="C94" s="705"/>
      <c r="D94" s="706"/>
      <c r="E94" s="706"/>
      <c r="F94" s="707"/>
      <c r="G94" s="708"/>
      <c r="H94" s="709"/>
      <c r="I94" s="706"/>
      <c r="J94" s="710"/>
      <c r="K94" s="711"/>
      <c r="L94" s="712"/>
      <c r="M94" s="706"/>
      <c r="N94" s="711"/>
      <c r="O94" s="712"/>
      <c r="P94" s="713"/>
      <c r="Q94" s="714"/>
      <c r="R94" s="706"/>
      <c r="S94" s="706"/>
      <c r="T94" s="715"/>
      <c r="U94" s="713"/>
      <c r="V94" s="706"/>
      <c r="W94" s="706"/>
      <c r="X94" s="716"/>
      <c r="Y94" s="713"/>
      <c r="Z94" s="717"/>
      <c r="AA94" s="718"/>
      <c r="AB94" s="717"/>
      <c r="AC94" s="719"/>
      <c r="AD94" s="719"/>
      <c r="AE94" s="719"/>
      <c r="AF94" s="719"/>
      <c r="AG94" s="719"/>
      <c r="AH94" s="719"/>
      <c r="AI94" s="719"/>
      <c r="AJ94" s="719"/>
      <c r="AK94" s="719"/>
      <c r="AL94" s="719"/>
      <c r="AM94" s="719"/>
      <c r="AN94" s="719"/>
      <c r="AO94" s="719"/>
      <c r="AP94" s="719"/>
      <c r="AQ94" s="719"/>
      <c r="AR94" s="719"/>
      <c r="AS94" s="719"/>
      <c r="AT94" s="719"/>
      <c r="AU94" s="719"/>
      <c r="AV94" s="719"/>
      <c r="AW94" s="719"/>
      <c r="AX94" s="719"/>
      <c r="AY94" s="719"/>
      <c r="AZ94" s="719"/>
      <c r="BA94" s="719"/>
      <c r="BB94" s="719"/>
      <c r="BC94" s="719"/>
      <c r="BD94" s="719"/>
      <c r="BE94" s="719"/>
      <c r="BF94" s="719"/>
      <c r="BG94" s="719"/>
      <c r="BH94" s="719"/>
      <c r="BI94" s="719"/>
      <c r="BJ94" s="719"/>
      <c r="BK94" s="719"/>
      <c r="BL94" s="719"/>
      <c r="BM94" s="719"/>
      <c r="BN94" s="719"/>
      <c r="BO94" s="719"/>
      <c r="BP94" s="719"/>
      <c r="BQ94" s="719"/>
      <c r="BR94" s="719"/>
      <c r="BS94" s="719"/>
      <c r="BT94" s="1"/>
      <c r="BU94" s="14"/>
      <c r="BV94" s="76"/>
      <c r="BW94" s="14"/>
      <c r="BX94" s="76"/>
      <c r="BY94" s="14"/>
    </row>
    <row r="95" spans="1:77" ht="9.75" customHeight="1" x14ac:dyDescent="0.15">
      <c r="A95" s="14"/>
      <c r="B95" s="9"/>
      <c r="C95" s="9"/>
      <c r="D95" s="14"/>
      <c r="E95" s="14"/>
      <c r="F95" s="101"/>
      <c r="G95" s="113"/>
      <c r="H95" s="72"/>
      <c r="I95" s="14"/>
      <c r="J95" s="320"/>
      <c r="K95" s="298"/>
      <c r="L95" s="360"/>
      <c r="M95" s="14"/>
      <c r="N95" s="298"/>
      <c r="O95" s="360"/>
      <c r="P95" s="361"/>
      <c r="Q95" s="76"/>
      <c r="R95" s="14"/>
      <c r="S95" s="14"/>
      <c r="T95" s="362"/>
      <c r="U95" s="361"/>
      <c r="V95" s="14"/>
      <c r="W95" s="14"/>
      <c r="X95" s="363"/>
      <c r="Y95" s="361"/>
      <c r="Z95" s="1"/>
      <c r="AA95" s="74"/>
      <c r="AB95" s="1"/>
      <c r="AC95" s="364"/>
      <c r="AD95" s="364"/>
      <c r="AE95" s="364"/>
      <c r="AF95" s="364"/>
      <c r="AG95" s="364"/>
      <c r="AH95" s="364"/>
      <c r="AI95" s="364"/>
      <c r="AJ95" s="364"/>
      <c r="AK95" s="364"/>
      <c r="AL95" s="364"/>
      <c r="AM95" s="364"/>
      <c r="AN95" s="364"/>
      <c r="AO95" s="364"/>
      <c r="AP95" s="364"/>
      <c r="AQ95" s="364"/>
      <c r="AR95" s="364"/>
      <c r="AS95" s="364"/>
      <c r="AT95" s="364"/>
      <c r="AU95" s="364"/>
      <c r="AV95" s="364"/>
      <c r="AW95" s="364"/>
      <c r="AX95" s="364"/>
      <c r="AY95" s="364"/>
      <c r="AZ95" s="364"/>
      <c r="BA95" s="364"/>
      <c r="BB95" s="364"/>
      <c r="BC95" s="364"/>
      <c r="BD95" s="364"/>
      <c r="BE95" s="364"/>
      <c r="BF95" s="364"/>
      <c r="BG95" s="364"/>
      <c r="BH95" s="364"/>
      <c r="BI95" s="364"/>
      <c r="BJ95" s="364"/>
      <c r="BK95" s="364"/>
      <c r="BL95" s="364"/>
      <c r="BM95" s="364"/>
      <c r="BN95" s="364"/>
      <c r="BO95" s="364"/>
      <c r="BP95" s="364"/>
      <c r="BQ95" s="364"/>
      <c r="BR95" s="364"/>
      <c r="BS95" s="364"/>
      <c r="BT95" s="1"/>
      <c r="BU95" s="14"/>
      <c r="BV95" s="76"/>
      <c r="BW95" s="14"/>
      <c r="BX95" s="76"/>
      <c r="BY95" s="14"/>
    </row>
    <row r="96" spans="1:77" ht="6" customHeight="1" x14ac:dyDescent="0.15">
      <c r="A96" s="14"/>
      <c r="B96" s="9"/>
      <c r="C96" s="9"/>
      <c r="D96" s="14"/>
      <c r="E96" s="14"/>
      <c r="F96" s="101"/>
      <c r="G96" s="113"/>
      <c r="H96" s="72"/>
      <c r="I96" s="14"/>
      <c r="J96" s="320"/>
      <c r="K96" s="298"/>
      <c r="L96" s="360"/>
      <c r="M96" s="14"/>
      <c r="N96" s="298"/>
      <c r="O96" s="360"/>
      <c r="P96" s="361"/>
      <c r="Q96" s="76"/>
      <c r="R96" s="14"/>
      <c r="S96" s="14"/>
      <c r="T96" s="362"/>
      <c r="U96" s="361"/>
      <c r="V96" s="14"/>
      <c r="W96" s="14"/>
      <c r="X96" s="363"/>
      <c r="Y96" s="361"/>
      <c r="Z96" s="1"/>
      <c r="AA96" s="74"/>
      <c r="AB96" s="1"/>
      <c r="AC96" s="364"/>
      <c r="AD96" s="364"/>
      <c r="AE96" s="364"/>
      <c r="AF96" s="364"/>
      <c r="AG96" s="364"/>
      <c r="AH96" s="364"/>
      <c r="AI96" s="364"/>
      <c r="AJ96" s="364"/>
      <c r="AK96" s="364"/>
      <c r="AL96" s="364"/>
      <c r="AM96" s="364"/>
      <c r="AN96" s="364"/>
      <c r="AO96" s="364"/>
      <c r="AP96" s="364"/>
      <c r="AQ96" s="364"/>
      <c r="AR96" s="364"/>
      <c r="AS96" s="364"/>
      <c r="AT96" s="364"/>
      <c r="AU96" s="364"/>
      <c r="AV96" s="364"/>
      <c r="AW96" s="364"/>
      <c r="AX96" s="364"/>
      <c r="AY96" s="364"/>
      <c r="AZ96" s="364"/>
      <c r="BA96" s="364"/>
      <c r="BB96" s="364"/>
      <c r="BC96" s="364"/>
      <c r="BD96" s="364"/>
      <c r="BE96" s="364"/>
      <c r="BF96" s="364"/>
      <c r="BG96" s="364"/>
      <c r="BH96" s="364"/>
      <c r="BI96" s="364"/>
      <c r="BJ96" s="364"/>
      <c r="BK96" s="364"/>
      <c r="BL96" s="364"/>
      <c r="BM96" s="364"/>
      <c r="BN96" s="364"/>
      <c r="BO96" s="364"/>
      <c r="BP96" s="364"/>
      <c r="BQ96" s="364"/>
      <c r="BR96" s="364"/>
      <c r="BS96" s="364"/>
      <c r="BT96" s="1"/>
      <c r="BU96" s="14"/>
      <c r="BV96" s="76"/>
      <c r="BW96" s="14"/>
      <c r="BX96" s="76"/>
      <c r="BY96" s="14"/>
    </row>
    <row r="97" spans="1:77" ht="15" x14ac:dyDescent="0.15">
      <c r="A97" s="291"/>
      <c r="B97" s="1084" t="s">
        <v>145</v>
      </c>
      <c r="C97" s="1049"/>
      <c r="D97" s="365"/>
      <c r="E97" s="365"/>
      <c r="F97" s="366"/>
      <c r="G97" s="367"/>
      <c r="H97" s="368"/>
      <c r="I97" s="365"/>
      <c r="J97" s="369"/>
      <c r="K97" s="370"/>
      <c r="L97" s="371"/>
      <c r="M97" s="365"/>
      <c r="N97" s="370"/>
      <c r="O97" s="371"/>
      <c r="P97" s="372"/>
      <c r="Q97" s="373"/>
      <c r="R97" s="365"/>
      <c r="S97" s="365"/>
      <c r="T97" s="374"/>
      <c r="U97" s="372"/>
      <c r="V97" s="365"/>
      <c r="W97" s="365"/>
      <c r="X97" s="375"/>
      <c r="Y97" s="372"/>
      <c r="Z97" s="376"/>
      <c r="AA97" s="377"/>
      <c r="AB97" s="376"/>
      <c r="AC97" s="378"/>
      <c r="AD97" s="378"/>
      <c r="AE97" s="378"/>
      <c r="AF97" s="378"/>
      <c r="AG97" s="378"/>
      <c r="AH97" s="378"/>
      <c r="AI97" s="378"/>
      <c r="AJ97" s="378"/>
      <c r="AK97" s="378"/>
      <c r="AL97" s="378"/>
      <c r="AM97" s="378"/>
      <c r="AN97" s="378"/>
      <c r="AO97" s="378"/>
      <c r="AP97" s="378"/>
      <c r="AQ97" s="378"/>
      <c r="AR97" s="378"/>
      <c r="AS97" s="378"/>
      <c r="AT97" s="378"/>
      <c r="AU97" s="378"/>
      <c r="AV97" s="378"/>
      <c r="AW97" s="378"/>
      <c r="AX97" s="378"/>
      <c r="AY97" s="378"/>
      <c r="AZ97" s="378"/>
      <c r="BA97" s="378"/>
      <c r="BB97" s="378"/>
      <c r="BC97" s="378"/>
      <c r="BD97" s="378"/>
      <c r="BE97" s="378"/>
      <c r="BF97" s="378"/>
      <c r="BG97" s="378"/>
      <c r="BH97" s="378"/>
      <c r="BI97" s="378"/>
      <c r="BJ97" s="378"/>
      <c r="BK97" s="378"/>
      <c r="BL97" s="378"/>
      <c r="BM97" s="378"/>
      <c r="BN97" s="378"/>
      <c r="BO97" s="378"/>
      <c r="BP97" s="378"/>
      <c r="BQ97" s="378"/>
      <c r="BR97" s="378"/>
      <c r="BS97" s="378"/>
      <c r="BT97" s="376"/>
      <c r="BU97" s="365"/>
      <c r="BV97" s="373"/>
      <c r="BW97" s="365"/>
      <c r="BX97" s="373"/>
      <c r="BY97" s="14"/>
    </row>
    <row r="98" spans="1:77" ht="6" customHeight="1" x14ac:dyDescent="0.15">
      <c r="A98" s="2"/>
      <c r="B98" s="14"/>
      <c r="C98" s="14"/>
      <c r="D98" s="14"/>
      <c r="E98" s="294"/>
      <c r="F98" s="379"/>
      <c r="G98" s="379"/>
      <c r="H98" s="720"/>
      <c r="I98" s="294"/>
      <c r="J98" s="159"/>
      <c r="K98" s="360"/>
      <c r="L98" s="360"/>
      <c r="M98" s="721"/>
      <c r="N98" s="361"/>
      <c r="O98" s="360"/>
      <c r="P98" s="722"/>
      <c r="Q98" s="159"/>
      <c r="R98" s="159"/>
      <c r="S98" s="159"/>
      <c r="T98" s="300"/>
      <c r="U98" s="722"/>
      <c r="V98" s="294"/>
      <c r="W98" s="294"/>
      <c r="X98" s="723"/>
      <c r="Y98" s="722"/>
      <c r="Z98" s="1"/>
      <c r="AA98" s="74"/>
      <c r="AB98" s="74"/>
      <c r="AC98" s="364"/>
      <c r="AD98" s="364"/>
      <c r="AE98" s="364"/>
      <c r="AF98" s="364"/>
      <c r="AG98" s="364"/>
      <c r="AH98" s="364"/>
      <c r="AI98" s="364"/>
      <c r="AJ98" s="364"/>
      <c r="AK98" s="364"/>
      <c r="AL98" s="364"/>
      <c r="AM98" s="364"/>
      <c r="AN98" s="364"/>
      <c r="AO98" s="364"/>
      <c r="AP98" s="364"/>
      <c r="AQ98" s="364"/>
      <c r="AR98" s="364"/>
      <c r="AS98" s="364"/>
      <c r="AT98" s="364"/>
      <c r="AU98" s="364"/>
      <c r="AV98" s="364"/>
      <c r="AW98" s="364"/>
      <c r="AX98" s="364"/>
      <c r="AY98" s="364"/>
      <c r="AZ98" s="364"/>
      <c r="BA98" s="364"/>
      <c r="BB98" s="364"/>
      <c r="BC98" s="364"/>
      <c r="BD98" s="364"/>
      <c r="BE98" s="364"/>
      <c r="BF98" s="364"/>
      <c r="BG98" s="364"/>
      <c r="BH98" s="364"/>
      <c r="BI98" s="364"/>
      <c r="BJ98" s="364"/>
      <c r="BK98" s="364"/>
      <c r="BL98" s="364"/>
      <c r="BM98" s="364"/>
      <c r="BN98" s="364"/>
      <c r="BO98" s="364"/>
      <c r="BP98" s="364"/>
      <c r="BQ98" s="364"/>
      <c r="BR98" s="364"/>
      <c r="BS98" s="364"/>
      <c r="BT98" s="1"/>
      <c r="BU98" s="2"/>
      <c r="BV98" s="76"/>
      <c r="BW98" s="2"/>
      <c r="BX98" s="76"/>
      <c r="BY98" s="2"/>
    </row>
    <row r="99" spans="1:77" ht="144" x14ac:dyDescent="0.15">
      <c r="A99" s="2"/>
      <c r="B99" s="724" t="s">
        <v>146</v>
      </c>
      <c r="C99" s="210" t="s">
        <v>178</v>
      </c>
      <c r="D99" s="725" t="s">
        <v>147</v>
      </c>
      <c r="E99" s="212" t="s">
        <v>117</v>
      </c>
      <c r="F99" s="726"/>
      <c r="G99" s="726"/>
      <c r="H99" s="727"/>
      <c r="I99" s="212" t="s">
        <v>117</v>
      </c>
      <c r="J99" s="728" t="s">
        <v>117</v>
      </c>
      <c r="K99" s="729" t="s">
        <v>117</v>
      </c>
      <c r="L99" s="730">
        <f t="shared" ref="L99:L102" si="55">IFERROR(IF(OR($F99&gt;0,$G99&gt;0,$H99&gt;0),MAX($F99:$H99)*K99,0),0)</f>
        <v>0</v>
      </c>
      <c r="M99" s="731" t="s">
        <v>117</v>
      </c>
      <c r="N99" s="732" t="s">
        <v>117</v>
      </c>
      <c r="O99" s="733">
        <f t="shared" ref="O99:O100" si="56">IF(N99="-",0)</f>
        <v>0</v>
      </c>
      <c r="P99" s="734">
        <f t="shared" ref="P99:P102" si="57">L99+O99</f>
        <v>0</v>
      </c>
      <c r="Q99" s="731" t="s">
        <v>148</v>
      </c>
      <c r="R99" s="732" t="s">
        <v>117</v>
      </c>
      <c r="S99" s="728" t="s">
        <v>117</v>
      </c>
      <c r="T99" s="735" t="s">
        <v>117</v>
      </c>
      <c r="U99" s="21">
        <v>0</v>
      </c>
      <c r="V99" s="212" t="s">
        <v>117</v>
      </c>
      <c r="W99" s="17" t="s">
        <v>117</v>
      </c>
      <c r="X99" s="736" t="s">
        <v>117</v>
      </c>
      <c r="Y99" s="22">
        <v>0</v>
      </c>
      <c r="Z99" s="1"/>
      <c r="AA99" s="88">
        <f>NPV($C$136,AF99:BS99)+AE99</f>
        <v>0</v>
      </c>
      <c r="AB99" s="74"/>
      <c r="AC99" s="126">
        <v>4375</v>
      </c>
      <c r="AD99" s="594"/>
      <c r="AE99" s="89">
        <f t="shared" ref="AE99:BS99" si="58">IF(AE$4=0,$P99,IF(AE$4&lt;2,$U99,IF(AE$4&gt;1,0)))</f>
        <v>0</v>
      </c>
      <c r="AF99" s="89">
        <f t="shared" si="58"/>
        <v>0</v>
      </c>
      <c r="AG99" s="89">
        <f t="shared" si="58"/>
        <v>0</v>
      </c>
      <c r="AH99" s="89">
        <f t="shared" si="58"/>
        <v>0</v>
      </c>
      <c r="AI99" s="89">
        <f t="shared" si="58"/>
        <v>0</v>
      </c>
      <c r="AJ99" s="89">
        <f t="shared" si="58"/>
        <v>0</v>
      </c>
      <c r="AK99" s="89">
        <f t="shared" si="58"/>
        <v>0</v>
      </c>
      <c r="AL99" s="89">
        <f t="shared" si="58"/>
        <v>0</v>
      </c>
      <c r="AM99" s="89">
        <f t="shared" si="58"/>
        <v>0</v>
      </c>
      <c r="AN99" s="89">
        <f t="shared" si="58"/>
        <v>0</v>
      </c>
      <c r="AO99" s="89">
        <f t="shared" si="58"/>
        <v>0</v>
      </c>
      <c r="AP99" s="89">
        <f t="shared" si="58"/>
        <v>0</v>
      </c>
      <c r="AQ99" s="89">
        <f t="shared" si="58"/>
        <v>0</v>
      </c>
      <c r="AR99" s="89">
        <f t="shared" si="58"/>
        <v>0</v>
      </c>
      <c r="AS99" s="89">
        <f t="shared" si="58"/>
        <v>0</v>
      </c>
      <c r="AT99" s="89">
        <f t="shared" si="58"/>
        <v>0</v>
      </c>
      <c r="AU99" s="89">
        <f t="shared" si="58"/>
        <v>0</v>
      </c>
      <c r="AV99" s="89">
        <f t="shared" si="58"/>
        <v>0</v>
      </c>
      <c r="AW99" s="89">
        <f t="shared" si="58"/>
        <v>0</v>
      </c>
      <c r="AX99" s="89">
        <f t="shared" si="58"/>
        <v>0</v>
      </c>
      <c r="AY99" s="89">
        <f t="shared" si="58"/>
        <v>0</v>
      </c>
      <c r="AZ99" s="89">
        <f t="shared" si="58"/>
        <v>0</v>
      </c>
      <c r="BA99" s="89">
        <f t="shared" si="58"/>
        <v>0</v>
      </c>
      <c r="BB99" s="89">
        <f t="shared" si="58"/>
        <v>0</v>
      </c>
      <c r="BC99" s="89">
        <f t="shared" si="58"/>
        <v>0</v>
      </c>
      <c r="BD99" s="89">
        <f t="shared" si="58"/>
        <v>0</v>
      </c>
      <c r="BE99" s="89">
        <f t="shared" si="58"/>
        <v>0</v>
      </c>
      <c r="BF99" s="89">
        <f t="shared" si="58"/>
        <v>0</v>
      </c>
      <c r="BG99" s="89">
        <f t="shared" si="58"/>
        <v>0</v>
      </c>
      <c r="BH99" s="89">
        <f t="shared" si="58"/>
        <v>0</v>
      </c>
      <c r="BI99" s="89">
        <f t="shared" si="58"/>
        <v>0</v>
      </c>
      <c r="BJ99" s="89">
        <f t="shared" si="58"/>
        <v>0</v>
      </c>
      <c r="BK99" s="89">
        <f t="shared" si="58"/>
        <v>0</v>
      </c>
      <c r="BL99" s="89">
        <f t="shared" si="58"/>
        <v>0</v>
      </c>
      <c r="BM99" s="89">
        <f t="shared" si="58"/>
        <v>0</v>
      </c>
      <c r="BN99" s="89">
        <f t="shared" si="58"/>
        <v>0</v>
      </c>
      <c r="BO99" s="89">
        <f t="shared" si="58"/>
        <v>0</v>
      </c>
      <c r="BP99" s="89">
        <f t="shared" si="58"/>
        <v>0</v>
      </c>
      <c r="BQ99" s="89">
        <f t="shared" si="58"/>
        <v>0</v>
      </c>
      <c r="BR99" s="89">
        <f t="shared" si="58"/>
        <v>0</v>
      </c>
      <c r="BS99" s="89">
        <f t="shared" si="58"/>
        <v>0</v>
      </c>
      <c r="BT99" s="1"/>
      <c r="BU99" s="2"/>
      <c r="BV99" s="93"/>
      <c r="BW99" s="2"/>
      <c r="BX99" s="93"/>
      <c r="BY99" s="2"/>
    </row>
    <row r="100" spans="1:77" ht="128" x14ac:dyDescent="0.15">
      <c r="A100" s="2"/>
      <c r="B100" s="737" t="s">
        <v>179</v>
      </c>
      <c r="C100" s="34" t="s">
        <v>149</v>
      </c>
      <c r="D100" s="220" t="s">
        <v>150</v>
      </c>
      <c r="E100" s="247" t="s">
        <v>117</v>
      </c>
      <c r="F100" s="409"/>
      <c r="G100" s="409"/>
      <c r="H100" s="738"/>
      <c r="I100" s="247" t="s">
        <v>117</v>
      </c>
      <c r="J100" s="558" t="s">
        <v>117</v>
      </c>
      <c r="K100" s="739" t="s">
        <v>117</v>
      </c>
      <c r="L100" s="740">
        <f t="shared" si="55"/>
        <v>0</v>
      </c>
      <c r="M100" s="565" t="s">
        <v>117</v>
      </c>
      <c r="N100" s="741" t="s">
        <v>117</v>
      </c>
      <c r="O100" s="742">
        <f t="shared" si="56"/>
        <v>0</v>
      </c>
      <c r="P100" s="743">
        <f t="shared" si="57"/>
        <v>0</v>
      </c>
      <c r="Q100" s="561" t="s">
        <v>117</v>
      </c>
      <c r="R100" s="558" t="s">
        <v>117</v>
      </c>
      <c r="S100" s="558" t="s">
        <v>117</v>
      </c>
      <c r="T100" s="744" t="s">
        <v>117</v>
      </c>
      <c r="U100" s="745">
        <v>4375</v>
      </c>
      <c r="V100" s="247" t="s">
        <v>117</v>
      </c>
      <c r="W100" s="24" t="s">
        <v>117</v>
      </c>
      <c r="X100" s="746" t="s">
        <v>117</v>
      </c>
      <c r="Y100" s="1024">
        <v>4375</v>
      </c>
      <c r="Z100" s="1"/>
      <c r="AA100" s="88">
        <f>NPV($C$136,AF100:BS100)+AE100</f>
        <v>42181.594792726864</v>
      </c>
      <c r="AB100" s="74"/>
      <c r="AC100" s="747"/>
      <c r="AD100" s="747"/>
      <c r="AE100" s="748">
        <f>IF(AE$4=0,$P100,IF(AE$4=1,0,IF(AE$4&lt;7,$U100*(1+$C$137)^AE$4,IF(AE$4&lt;7,$Y100*(1+$C$137)^AE$4,IF(AND(MOD(AE$4,2)=0,AE$4&lt;=10),$Y100*(1+$C$137)^AE$4,IF(MOD(AE$4,5)=0,$Y100*(1+$C$137)^AE$4, 900*(1+$C$137)^AE$4))))))</f>
        <v>0</v>
      </c>
      <c r="AF100" s="748">
        <f>IF(AF$4=0,$P100,IF(AF$4=1,0,IF(AF$4&lt;7,$U100*(1+$C$137)^AF$4,IF(AF$4&lt;7,$Y100*(1+$C$137)^AF$4,IF(AND(MOD(AF$4,2)=0,AF$4&lt;=10),$Y100*(1+$C$137)^AF$4,IF(MOD(AF$4,5)=0,$Y100*(1+$C$137)^AF$4, 900*(1+$C$137)^AF$4))))))</f>
        <v>0</v>
      </c>
      <c r="AG100" s="748">
        <f>IF(AG$4=0,$P100,IF(AG$4=1,0,IF(AG$4&lt;7,$U100*(1+$C$137)^AG$4,IF(AG$4&lt;7,$Y100*(1+$C$137)^AG$4,IF(AND(MOD(AG$4,2)=0,AG$4&lt;=10),$Y100*(1+$C$137)^AG$4,IF(MOD(AG$4,5)=0,$Y100*(1+$C$137)^AG$4, 900*(1+$C$137)^AG$4))))))</f>
        <v>4596.484375</v>
      </c>
      <c r="AH100" s="748">
        <f>IF(AH$4=0,$P100,IF(AH$4=1,0,IF(AH$4&lt;7,$U100*(1+$C$137)^AH$4,IF(AH$4&lt;7,$Y100*(1+$C$137)^AH$4,IF(AND(MOD(AH$4,2)=0,AH$4&lt;=10),$Y100*(1+$C$137)^AH$4,IF(MOD(AH$4,5)=0,$Y100*(1+$C$137)^AH$4, 900*(1+$C$137)^AH$4))))))</f>
        <v>4711.3964843749991</v>
      </c>
      <c r="AI100" s="748">
        <f>IF(AI$4=0,$P100,IF(AI$4=1,0,IF(AI$4&lt;7,$U100*(1+$C$137)^AI$4,IF(AI$4&lt;7,$Y100*(1+$C$137)^AI$4,IF(AND(MOD(AI$4,2)=0,AI$4&lt;=10),$Y100*(1+$C$137)^AI$4,IF(MOD(AI$4,5)=0,$Y100*(1+$C$137)^AI$4, 900*(1+$C$137)^AI$4))))))</f>
        <v>4829.1813964843741</v>
      </c>
      <c r="AJ100" s="748">
        <f>IF(AJ$4=0,$P100,IF(AJ$4=1,0,IF(AJ$4&lt;7,$U100*(1+$C$137)^AJ$4,IF(AJ$4&lt;7,$Y100*(1+$C$137)^AJ$4,IF(AND(MOD(AJ$4,2)=0,AJ$4&lt;=10),$Y100*(1+$C$137)^AJ$4,IF(MOD(AJ$4,5)=0,$Y100*(1+$C$137)^AJ$4, 900*(1+$C$137)^AJ$4))))))</f>
        <v>4949.9109313964827</v>
      </c>
      <c r="AK100" s="748">
        <f>IF(AK$4=0,$P100,IF(AK$4=1,0,IF(AK$4&lt;7,$U100*(1+$C$137)^AK$4,IF(AK$4&lt;7,$Y100*(1+$C$137)^AK$4,IF(AND(MOD(AK$4,2)=0,AK$4&lt;=10),$Y100*(1+$C$137)^AK$4,IF(MOD(AK$4,5)=0,$Y100*(1+$C$137)^AK$4, 900*(1+$C$137)^AK$4))))))</f>
        <v>5073.6587046813947</v>
      </c>
      <c r="AL100" s="748">
        <f>IF(AL$4=0,$P100,IF(AL$4=1,0,IF(AL$4&lt;7,$U100*(1+$C$137)^AL$4,IF(AL$4&lt;7,$Y100*(1+$C$137)^AL$4,IF(AND(MOD(AL$4,2)=0,AL$4&lt;=10),$Y100*(1+$C$137)^AL$4,IF(MOD(AL$4,5)=0,$Y100*(1+$C$137)^AL$4, 900*(1+$C$137)^AL$4))))))</f>
        <v>1069.8171783013913</v>
      </c>
      <c r="AM100" s="748">
        <f>IF(AM$4=0,$P100,IF(AM$4=1,0,IF(AM$4&lt;7,$U100*(1+$C$137)^AM$4,IF(AM$4&lt;7,$Y100*(1+$C$137)^AM$4,IF(AND(MOD(AM$4,2)=0,AM$4&lt;=10),$Y100*(1+$C$137)^AM$4,IF(MOD(AM$4,5)=0,$Y100*(1+$C$137)^AM$4, 900*(1+$C$137)^AM$4))))))</f>
        <v>5330.5126766058902</v>
      </c>
      <c r="AN100" s="748">
        <f>IF(AN$4=0,$P100,IF(AN$4=1,0,IF(AN$4&lt;7,$U100*(1+$C$137)^AN$4,IF(AN$4&lt;7,$Y100*(1+$C$137)^AN$4,IF(AND(MOD(AN$4,2)=0,AN$4&lt;=10),$Y100*(1+$C$137)^AN$4,IF(MOD(AN$4,5)=0,$Y100*(1+$C$137)^AN$4, 900*(1+$C$137)^AN$4))))))</f>
        <v>1123.976672952899</v>
      </c>
      <c r="AO100" s="748">
        <f>IF(AO$4=0,$P100,IF(AO$4=1,0,IF(AO$4&lt;7,$U100*(1+$C$137)^AO$4,IF(AO$4&lt;7,$Y100*(1+$C$137)^AO$4,IF(AND(MOD(AO$4,2)=0,AO$4&lt;=10),$Y100*(1+$C$137)^AO$4,IF(MOD(AO$4,5)=0,$Y100*(1+$C$137)^AO$4, 900*(1+$C$137)^AO$4))))))</f>
        <v>5600.3698808590625</v>
      </c>
      <c r="AP100" s="748">
        <f>IF(AP$4=0,$P100,IF(AP$4=1,0,IF(AP$4&lt;7,$U100*(1+$C$137)^AP$4,IF(AP$4&lt;7,$Y100*(1+$C$137)^AP$4,IF(AND(MOD(AP$4,2)=0,AP$4&lt;=10),$Y100*(1+$C$137)^AP$4,IF(MOD(AP$4,5)=0,$Y100*(1+$C$137)^AP$4, 900*(1+$C$137)^AP$4))))))</f>
        <v>1180.8779920211393</v>
      </c>
      <c r="AQ100" s="748">
        <f>IF(AQ$4=0,$P100,IF(AQ$4=1,0,IF(AQ$4&lt;7,$U100*(1+$C$137)^AQ$4,IF(AQ$4&lt;7,$Y100*(1+$C$137)^AQ$4,IF(AND(MOD(AQ$4,2)=0,AQ$4&lt;=10),$Y100*(1+$C$137)^AQ$4,IF(MOD(AQ$4,5)=0,$Y100*(1+$C$137)^AQ$4, 900*(1+$C$137)^AQ$4))))))</f>
        <v>1210.3999418216679</v>
      </c>
      <c r="AR100" s="748">
        <f>IF(AR$4=0,$P100,IF(AR$4=1,0,IF(AR$4&lt;7,$U100*(1+$C$137)^AR$4,IF(AR$4&lt;7,$Y100*(1+$C$137)^AR$4,IF(AND(MOD(AR$4,2)=0,AR$4&lt;=10),$Y100*(1+$C$137)^AR$4,IF(MOD(AR$4,5)=0,$Y100*(1+$C$137)^AR$4, 900*(1+$C$137)^AR$4))))))</f>
        <v>1240.6599403672094</v>
      </c>
      <c r="AS100" s="748">
        <f>IF(AS$4=0,$P100,IF(AS$4=1,0,IF(AS$4&lt;7,$U100*(1+$C$137)^AS$4,IF(AS$4&lt;7,$Y100*(1+$C$137)^AS$4,IF(AND(MOD(AS$4,2)=0,AS$4&lt;=10),$Y100*(1+$C$137)^AS$4,IF(MOD(AS$4,5)=0,$Y100*(1+$C$137)^AS$4, 900*(1+$C$137)^AS$4))))))</f>
        <v>1271.6764388763895</v>
      </c>
      <c r="AT100" s="748">
        <f>IF(AT$4=0,$P100,IF(AT$4=1,0,IF(AT$4&lt;7,$U100*(1+$C$137)^AT$4,IF(AT$4&lt;7,$Y100*(1+$C$137)^AT$4,IF(AND(MOD(AT$4,2)=0,AT$4&lt;=10),$Y100*(1+$C$137)^AT$4,IF(MOD(AT$4,5)=0,$Y100*(1+$C$137)^AT$4, 900*(1+$C$137)^AT$4))))))</f>
        <v>6336.3044784292333</v>
      </c>
      <c r="AU100" s="748">
        <f>IF(AU$4=0,$P100,IF(AU$4=1,0,IF(AU$4&lt;7,$U100*(1+$C$137)^AU$4,IF(AU$4&lt;7,$Y100*(1+$C$137)^AU$4,IF(AND(MOD(AU$4,2)=0,AU$4&lt;=10),$Y100*(1+$C$137)^AU$4,IF(MOD(AU$4,5)=0,$Y100*(1+$C$137)^AU$4, 900*(1+$C$137)^AU$4))))))</f>
        <v>1336.0550585945068</v>
      </c>
      <c r="AV100" s="748">
        <f>IF(AV$4=0,$P100,IF(AV$4=1,0,IF(AV$4&lt;7,$U100*(1+$C$137)^AV$4,IF(AV$4&lt;7,$Y100*(1+$C$137)^AV$4,IF(AND(MOD(AV$4,2)=0,AV$4&lt;=10),$Y100*(1+$C$137)^AV$4,IF(MOD(AV$4,5)=0,$Y100*(1+$C$137)^AV$4, 900*(1+$C$137)^AV$4))))))</f>
        <v>1369.4564350593694</v>
      </c>
      <c r="AW100" s="748">
        <f>IF(AW$4=0,$P100,IF(AW$4=1,0,IF(AW$4&lt;7,$U100*(1+$C$137)^AW$4,IF(AW$4&lt;7,$Y100*(1+$C$137)^AW$4,IF(AND(MOD(AW$4,2)=0,AW$4&lt;=10),$Y100*(1+$C$137)^AW$4,IF(MOD(AW$4,5)=0,$Y100*(1+$C$137)^AW$4, 900*(1+$C$137)^AW$4))))))</f>
        <v>1403.6928459358535</v>
      </c>
      <c r="AX100" s="748">
        <f>IF(AX$4=0,$P100,IF(AX$4=1,0,IF(AX$4&lt;7,$U100*(1+$C$137)^AX$4,IF(AX$4&lt;7,$Y100*(1+$C$137)^AX$4,IF(AND(MOD(AX$4,2)=0,AX$4&lt;=10),$Y100*(1+$C$137)^AX$4,IF(MOD(AX$4,5)=0,$Y100*(1+$C$137)^AX$4, 900*(1+$C$137)^AX$4))))))</f>
        <v>1438.7851670842499</v>
      </c>
      <c r="AY100" s="748">
        <f>IF(AY$4=0,$P100,IF(AY$4=1,0,IF(AY$4&lt;7,$U100*(1+$C$137)^AY$4,IF(AY$4&lt;7,$Y100*(1+$C$137)^AY$4,IF(AND(MOD(AY$4,2)=0,AY$4&lt;=10),$Y100*(1+$C$137)^AY$4,IF(MOD(AY$4,5)=0,$Y100*(1+$C$137)^AY$4, 900*(1+$C$137)^AY$4))))))</f>
        <v>7168.9469262704806</v>
      </c>
      <c r="AZ100" s="748">
        <f>IF(AZ$4=0,$P100,IF(AZ$4=1,0,IF(AZ$4&lt;7,$U100*(1+$C$137)^AZ$4,IF(AZ$4&lt;7,$Y100*(1+$C$137)^AZ$4,IF(AND(MOD(AZ$4,2)=0,AZ$4&lt;=10),$Y100*(1+$C$137)^AZ$4,IF(MOD(AZ$4,5)=0,$Y100*(1+$C$137)^AZ$4, 900*(1+$C$137)^AZ$4))))))</f>
        <v>1511.6236661678897</v>
      </c>
      <c r="BA100" s="748">
        <f>IF(BA$4=0,$P100,IF(BA$4=1,0,IF(BA$4&lt;7,$U100*(1+$C$137)^BA$4,IF(BA$4&lt;7,$Y100*(1+$C$137)^BA$4,IF(AND(MOD(BA$4,2)=0,BA$4&lt;=10),$Y100*(1+$C$137)^BA$4,IF(MOD(BA$4,5)=0,$Y100*(1+$C$137)^BA$4, 900*(1+$C$137)^BA$4))))))</f>
        <v>1549.4142578220869</v>
      </c>
      <c r="BB100" s="748">
        <f>IF(BB$4=0,$P100,IF(BB$4=1,0,IF(BB$4&lt;7,$U100*(1+$C$137)^BB$4,IF(BB$4&lt;7,$Y100*(1+$C$137)^BB$4,IF(AND(MOD(BB$4,2)=0,BB$4&lt;=10),$Y100*(1+$C$137)^BB$4,IF(MOD(BB$4,5)=0,$Y100*(1+$C$137)^BB$4, 900*(1+$C$137)^BB$4))))))</f>
        <v>1588.1496142676392</v>
      </c>
      <c r="BC100" s="748">
        <f>IF(BC$4=0,$P100,IF(BC$4=1,0,IF(BC$4&lt;7,$U100*(1+$C$137)^BC$4,IF(BC$4&lt;7,$Y100*(1+$C$137)^BC$4,IF(AND(MOD(BC$4,2)=0,BC$4&lt;=10),$Y100*(1+$C$137)^BC$4,IF(MOD(BC$4,5)=0,$Y100*(1+$C$137)^BC$4, 900*(1+$C$137)^BC$4))))))</f>
        <v>1627.85335462433</v>
      </c>
      <c r="BD100" s="748">
        <f>IF(BD$4=0,$P100,IF(BD$4=1,0,IF(BD$4&lt;7,$U100*(1+$C$137)^BD$4,IF(BD$4&lt;7,$Y100*(1+$C$137)^BD$4,IF(AND(MOD(BD$4,2)=0,BD$4&lt;=10),$Y100*(1+$C$137)^BD$4,IF(MOD(BD$4,5)=0,$Y100*(1+$C$137)^BD$4, 900*(1+$C$137)^BD$4))))))</f>
        <v>8111.0054301594209</v>
      </c>
      <c r="BE100" s="748">
        <f>IF(BE$4=0,$P100,IF(BE$4=1,0,IF(BE$4&lt;7,$U100*(1+$C$137)^BE$4,IF(BE$4&lt;7,$Y100*(1+$C$137)^BE$4,IF(AND(MOD(BE$4,2)=0,BE$4&lt;=10),$Y100*(1+$C$137)^BE$4,IF(MOD(BE$4,5)=0,$Y100*(1+$C$137)^BE$4, 900*(1+$C$137)^BE$4))))))</f>
        <v>1710.2634307021863</v>
      </c>
      <c r="BF100" s="748">
        <f>IF(BF$4=0,$P100,IF(BF$4=1,0,IF(BF$4&lt;7,$U100*(1+$C$137)^BF$4,IF(BF$4&lt;7,$Y100*(1+$C$137)^BF$4,IF(AND(MOD(BF$4,2)=0,BF$4&lt;=10),$Y100*(1+$C$137)^BF$4,IF(MOD(BF$4,5)=0,$Y100*(1+$C$137)^BF$4, 900*(1+$C$137)^BF$4))))))</f>
        <v>1753.020016469741</v>
      </c>
      <c r="BG100" s="748">
        <f>IF(BG$4=0,$P100,IF(BG$4=1,0,IF(BG$4&lt;7,$U100*(1+$C$137)^BG$4,IF(BG$4&lt;7,$Y100*(1+$C$137)^BG$4,IF(AND(MOD(BG$4,2)=0,BG$4&lt;=10),$Y100*(1+$C$137)^BG$4,IF(MOD(BG$4,5)=0,$Y100*(1+$C$137)^BG$4, 900*(1+$C$137)^BG$4))))))</f>
        <v>1796.8455168814844</v>
      </c>
      <c r="BH100" s="748">
        <f>IF(BH$4=0,$P100,IF(BH$4=1,0,IF(BH$4&lt;7,$U100*(1+$C$137)^BH$4,IF(BH$4&lt;7,$Y100*(1+$C$137)^BH$4,IF(AND(MOD(BH$4,2)=0,BH$4&lt;=10),$Y100*(1+$C$137)^BH$4,IF(MOD(BH$4,5)=0,$Y100*(1+$C$137)^BH$4, 900*(1+$C$137)^BH$4))))))</f>
        <v>1841.7666548035215</v>
      </c>
      <c r="BI100" s="748">
        <f>IF(BI$4=0,$P100,IF(BI$4=1,0,IF(BI$4&lt;7,$U100*(1+$C$137)^BI$4,IF(BI$4&lt;7,$Y100*(1+$C$137)^BI$4,IF(AND(MOD(BI$4,2)=0,BI$4&lt;=10),$Y100*(1+$C$137)^BI$4,IF(MOD(BI$4,5)=0,$Y100*(1+$C$137)^BI$4, 900*(1+$C$137)^BI$4))))))</f>
        <v>9176.8581584828225</v>
      </c>
      <c r="BJ100" s="748">
        <f>IF(BJ$4=0,$P100,IF(BJ$4=1,0,IF(BJ$4&lt;7,$U100*(1+$C$137)^BJ$4,IF(BJ$4&lt;7,$Y100*(1+$C$137)^BJ$4,IF(AND(MOD(BJ$4,2)=0,BJ$4&lt;=10),$Y100*(1+$C$137)^BJ$4,IF(MOD(BJ$4,5)=0,$Y100*(1+$C$137)^BJ$4, 900*(1+$C$137)^BJ$4))))))</f>
        <v>1935.00609170295</v>
      </c>
      <c r="BK100" s="748">
        <f>IF(BK$4=0,$P100,IF(BK$4=1,0,IF(BK$4&lt;7,$U100*(1+$C$137)^BK$4,IF(BK$4&lt;7,$Y100*(1+$C$137)^BK$4,IF(AND(MOD(BK$4,2)=0,BK$4&lt;=10),$Y100*(1+$C$137)^BK$4,IF(MOD(BK$4,5)=0,$Y100*(1+$C$137)^BK$4, 900*(1+$C$137)^BK$4))))))</f>
        <v>1983.3812439955234</v>
      </c>
      <c r="BL100" s="748">
        <f>IF(BL$4=0,$P100,IF(BL$4=1,0,IF(BL$4&lt;7,$U100*(1+$C$137)^BL$4,IF(BL$4&lt;7,$Y100*(1+$C$137)^BL$4,IF(AND(MOD(BL$4,2)=0,BL$4&lt;=10),$Y100*(1+$C$137)^BL$4,IF(MOD(BL$4,5)=0,$Y100*(1+$C$137)^BL$4, 900*(1+$C$137)^BL$4))))))</f>
        <v>2032.9657750954113</v>
      </c>
      <c r="BM100" s="748">
        <f>IF(BM$4=0,$P100,IF(BM$4=1,0,IF(BM$4&lt;7,$U100*(1+$C$137)^BM$4,IF(BM$4&lt;7,$Y100*(1+$C$137)^BM$4,IF(AND(MOD(BM$4,2)=0,BM$4&lt;=10),$Y100*(1+$C$137)^BM$4,IF(MOD(BM$4,5)=0,$Y100*(1+$C$137)^BM$4, 900*(1+$C$137)^BM$4))))))</f>
        <v>2083.7899194727966</v>
      </c>
      <c r="BN100" s="748">
        <f>IF(BN$4=0,$P100,IF(BN$4=1,0,IF(BN$4&lt;7,$U100*(1+$C$137)^BN$4,IF(BN$4&lt;7,$Y100*(1+$C$137)^BN$4,IF(AND(MOD(BN$4,2)=0,BN$4&lt;=10),$Y100*(1+$C$137)^BN$4,IF(MOD(BN$4,5)=0,$Y100*(1+$C$137)^BN$4, 900*(1+$C$137)^BN$4))))))</f>
        <v>10382.772689039801</v>
      </c>
      <c r="BO100" s="748">
        <f>IF(BO$4=0,$P100,IF(BO$4=1,0,IF(BO$4&lt;7,$U100*(1+$C$137)^BO$4,IF(BO$4&lt;7,$Y100*(1+$C$137)^BO$4,IF(AND(MOD(BO$4,2)=0,BO$4&lt;=10),$Y100*(1+$C$137)^BO$4,IF(MOD(BO$4,5)=0,$Y100*(1+$C$137)^BO$4, 900*(1+$C$137)^BO$4))))))</f>
        <v>2189.2817841461069</v>
      </c>
      <c r="BP100" s="748">
        <f>IF(BP$4=0,$P100,IF(BP$4=1,0,IF(BP$4&lt;7,$U100*(1+$C$137)^BP$4,IF(BP$4&lt;7,$Y100*(1+$C$137)^BP$4,IF(AND(MOD(BP$4,2)=0,BP$4&lt;=10),$Y100*(1+$C$137)^BP$4,IF(MOD(BP$4,5)=0,$Y100*(1+$C$137)^BP$4, 900*(1+$C$137)^BP$4))))))</f>
        <v>2244.0138287497593</v>
      </c>
      <c r="BQ100" s="748">
        <f>IF(BQ$4=0,$P100,IF(BQ$4=1,0,IF(BQ$4&lt;7,$U100*(1+$C$137)^BQ$4,IF(BQ$4&lt;7,$Y100*(1+$C$137)^BQ$4,IF(AND(MOD(BQ$4,2)=0,BQ$4&lt;=10),$Y100*(1+$C$137)^BQ$4,IF(MOD(BQ$4,5)=0,$Y100*(1+$C$137)^BQ$4, 900*(1+$C$137)^BQ$4))))))</f>
        <v>2300.1141744685028</v>
      </c>
      <c r="BR100" s="748">
        <f>IF(BR$4=0,$P100,IF(BR$4=1,0,IF(BR$4&lt;7,$U100*(1+$C$137)^BR$4,IF(BR$4&lt;7,$Y100*(1+$C$137)^BR$4,IF(AND(MOD(BR$4,2)=0,BR$4&lt;=10),$Y100*(1+$C$137)^BR$4,IF(MOD(BR$4,5)=0,$Y100*(1+$C$137)^BR$4, 900*(1+$C$137)^BR$4))))))</f>
        <v>2357.6170288302155</v>
      </c>
      <c r="BS100" s="748">
        <f>IF(BS$4=0,$P100,IF(BS$4=1,0,IF(BS$4&lt;7,$U100*(1+$C$137)^BS$4,IF(BS$4&lt;7,$Y100*(1+$C$137)^BS$4,IF(AND(MOD(BS$4,2)=0,BS$4&lt;=10),$Y100*(1+$C$137)^BS$4,IF(MOD(BS$4,5)=0,$Y100*(1+$C$137)^BS$4, 900*(1+$C$137)^BS$4))))))</f>
        <v>11747.154292956107</v>
      </c>
      <c r="BT100" s="1"/>
      <c r="BU100" s="2"/>
      <c r="BV100" s="93"/>
      <c r="BW100" s="2"/>
      <c r="BX100" s="93"/>
      <c r="BY100" s="2"/>
    </row>
    <row r="101" spans="1:77" ht="45.75" customHeight="1" x14ac:dyDescent="0.15">
      <c r="A101" s="2"/>
      <c r="B101" s="749" t="s">
        <v>180</v>
      </c>
      <c r="C101" s="51"/>
      <c r="D101" s="226"/>
      <c r="E101" s="242" t="s">
        <v>117</v>
      </c>
      <c r="F101" s="750"/>
      <c r="G101" s="750"/>
      <c r="H101" s="751">
        <v>1</v>
      </c>
      <c r="I101" s="242" t="s">
        <v>117</v>
      </c>
      <c r="J101" s="752" t="s">
        <v>117</v>
      </c>
      <c r="K101" s="753" t="s">
        <v>117</v>
      </c>
      <c r="L101" s="740">
        <f t="shared" si="55"/>
        <v>0</v>
      </c>
      <c r="M101" s="754" t="s">
        <v>117</v>
      </c>
      <c r="N101" s="560">
        <v>250</v>
      </c>
      <c r="O101" s="755">
        <f t="shared" ref="O101:O102" si="59">H101*N101</f>
        <v>250</v>
      </c>
      <c r="P101" s="743">
        <f t="shared" si="57"/>
        <v>250</v>
      </c>
      <c r="Q101" s="561" t="s">
        <v>117</v>
      </c>
      <c r="R101" s="558" t="s">
        <v>117</v>
      </c>
      <c r="S101" s="558">
        <v>1</v>
      </c>
      <c r="T101" s="1025">
        <v>250</v>
      </c>
      <c r="U101" s="1026">
        <f t="shared" ref="U101:U102" si="60">S101*T101</f>
        <v>250</v>
      </c>
      <c r="V101" s="242" t="s">
        <v>117</v>
      </c>
      <c r="W101" s="53">
        <v>1</v>
      </c>
      <c r="X101" s="1027">
        <v>250</v>
      </c>
      <c r="Y101" s="1028">
        <f t="shared" ref="Y101:Y102" si="61">W101*X101</f>
        <v>250</v>
      </c>
      <c r="Z101" s="1"/>
      <c r="AA101" s="88">
        <f>NPV($C$136,AF101:BS101)+AE101</f>
        <v>1738.4556733955162</v>
      </c>
      <c r="AB101" s="74"/>
      <c r="AC101" s="126">
        <v>250</v>
      </c>
      <c r="AD101" s="747"/>
      <c r="AE101" s="748">
        <f>IF(AE$4=0,0,IF(AE$4&lt;4,$U101,IF(AE$4&lt;7,$Y101,IF(AND(MOD(AE$4,2)=0,AE$4&lt;=10),$Y101,IF(MOD(AE$4,5)=0,$Y101, 0)))))</f>
        <v>0</v>
      </c>
      <c r="AF101" s="748">
        <f t="shared" ref="AF101:BS101" si="62">IF(AF$4=0,$P101,IF(AF$4&lt;4,$U101,IF(AF$4&lt;7,$Y101,IF(AND(MOD(AF$4,2)=0,AF$4&lt;=10),$Y101,IF(MOD(AF$4,5)=0,$Y101, 0)))))</f>
        <v>250</v>
      </c>
      <c r="AG101" s="748">
        <f t="shared" si="62"/>
        <v>250</v>
      </c>
      <c r="AH101" s="748">
        <f t="shared" si="62"/>
        <v>250</v>
      </c>
      <c r="AI101" s="748">
        <f t="shared" si="62"/>
        <v>250</v>
      </c>
      <c r="AJ101" s="748">
        <f t="shared" si="62"/>
        <v>250</v>
      </c>
      <c r="AK101" s="748">
        <f t="shared" si="62"/>
        <v>250</v>
      </c>
      <c r="AL101" s="748">
        <f t="shared" si="62"/>
        <v>0</v>
      </c>
      <c r="AM101" s="748">
        <f t="shared" si="62"/>
        <v>250</v>
      </c>
      <c r="AN101" s="748">
        <f t="shared" si="62"/>
        <v>0</v>
      </c>
      <c r="AO101" s="748">
        <f t="shared" si="62"/>
        <v>250</v>
      </c>
      <c r="AP101" s="748">
        <f t="shared" si="62"/>
        <v>0</v>
      </c>
      <c r="AQ101" s="748">
        <f t="shared" si="62"/>
        <v>0</v>
      </c>
      <c r="AR101" s="748">
        <f t="shared" si="62"/>
        <v>0</v>
      </c>
      <c r="AS101" s="748">
        <f t="shared" si="62"/>
        <v>0</v>
      </c>
      <c r="AT101" s="748">
        <f t="shared" si="62"/>
        <v>250</v>
      </c>
      <c r="AU101" s="748">
        <f t="shared" si="62"/>
        <v>0</v>
      </c>
      <c r="AV101" s="748">
        <f t="shared" si="62"/>
        <v>0</v>
      </c>
      <c r="AW101" s="748">
        <f t="shared" si="62"/>
        <v>0</v>
      </c>
      <c r="AX101" s="748">
        <f t="shared" si="62"/>
        <v>0</v>
      </c>
      <c r="AY101" s="748">
        <f t="shared" si="62"/>
        <v>250</v>
      </c>
      <c r="AZ101" s="748">
        <f t="shared" si="62"/>
        <v>0</v>
      </c>
      <c r="BA101" s="748">
        <f t="shared" si="62"/>
        <v>0</v>
      </c>
      <c r="BB101" s="748">
        <f t="shared" si="62"/>
        <v>0</v>
      </c>
      <c r="BC101" s="748">
        <f t="shared" si="62"/>
        <v>0</v>
      </c>
      <c r="BD101" s="748">
        <f t="shared" si="62"/>
        <v>250</v>
      </c>
      <c r="BE101" s="748">
        <f t="shared" si="62"/>
        <v>0</v>
      </c>
      <c r="BF101" s="748">
        <f t="shared" si="62"/>
        <v>0</v>
      </c>
      <c r="BG101" s="748">
        <f t="shared" si="62"/>
        <v>0</v>
      </c>
      <c r="BH101" s="748">
        <f t="shared" si="62"/>
        <v>0</v>
      </c>
      <c r="BI101" s="748">
        <f t="shared" si="62"/>
        <v>250</v>
      </c>
      <c r="BJ101" s="748">
        <f t="shared" si="62"/>
        <v>0</v>
      </c>
      <c r="BK101" s="748">
        <f t="shared" si="62"/>
        <v>0</v>
      </c>
      <c r="BL101" s="748">
        <f t="shared" si="62"/>
        <v>0</v>
      </c>
      <c r="BM101" s="748">
        <f t="shared" si="62"/>
        <v>0</v>
      </c>
      <c r="BN101" s="748">
        <f t="shared" si="62"/>
        <v>250</v>
      </c>
      <c r="BO101" s="748">
        <f t="shared" si="62"/>
        <v>0</v>
      </c>
      <c r="BP101" s="748">
        <f t="shared" si="62"/>
        <v>0</v>
      </c>
      <c r="BQ101" s="748">
        <f t="shared" si="62"/>
        <v>0</v>
      </c>
      <c r="BR101" s="748">
        <f t="shared" si="62"/>
        <v>0</v>
      </c>
      <c r="BS101" s="748">
        <f t="shared" si="62"/>
        <v>250</v>
      </c>
      <c r="BT101" s="1"/>
      <c r="BU101" s="2"/>
      <c r="BV101" s="93"/>
      <c r="BW101" s="2"/>
      <c r="BX101" s="93"/>
      <c r="BY101" s="2"/>
    </row>
    <row r="102" spans="1:77" ht="65" thickBot="1" x14ac:dyDescent="0.2">
      <c r="A102" s="2"/>
      <c r="B102" s="756" t="s">
        <v>181</v>
      </c>
      <c r="C102" s="35" t="s">
        <v>151</v>
      </c>
      <c r="D102" s="1104" t="s">
        <v>190</v>
      </c>
      <c r="E102" s="249" t="s">
        <v>117</v>
      </c>
      <c r="F102" s="568"/>
      <c r="G102" s="568"/>
      <c r="H102" s="757">
        <v>4</v>
      </c>
      <c r="I102" s="249" t="s">
        <v>117</v>
      </c>
      <c r="J102" s="570" t="s">
        <v>117</v>
      </c>
      <c r="K102" s="758" t="s">
        <v>117</v>
      </c>
      <c r="L102" s="740">
        <f t="shared" si="55"/>
        <v>0</v>
      </c>
      <c r="M102" s="573" t="s">
        <v>117</v>
      </c>
      <c r="N102" s="560">
        <v>450</v>
      </c>
      <c r="O102" s="759">
        <f t="shared" si="59"/>
        <v>1800</v>
      </c>
      <c r="P102" s="760">
        <f t="shared" si="57"/>
        <v>1800</v>
      </c>
      <c r="Q102" s="574" t="s">
        <v>117</v>
      </c>
      <c r="R102" s="570" t="s">
        <v>117</v>
      </c>
      <c r="S102" s="570">
        <v>4</v>
      </c>
      <c r="T102" s="761">
        <v>450</v>
      </c>
      <c r="U102" s="1029">
        <f t="shared" si="60"/>
        <v>1800</v>
      </c>
      <c r="V102" s="249" t="s">
        <v>117</v>
      </c>
      <c r="W102" s="37">
        <v>2</v>
      </c>
      <c r="X102" s="1030">
        <v>450</v>
      </c>
      <c r="Y102" s="1031">
        <f t="shared" si="61"/>
        <v>900</v>
      </c>
      <c r="Z102" s="1"/>
      <c r="AA102" s="88">
        <f>NPV($C$136,AF102:BS102)+AE102</f>
        <v>11932.032548622485</v>
      </c>
      <c r="AB102" s="74"/>
      <c r="AC102" s="392"/>
      <c r="AD102" s="392"/>
      <c r="AE102" s="748">
        <f>IF(AE$4=0,$P102,IF(AE$4&lt;4,$U102*(1+$C$137)^AE$4,IF(AE$4&lt;7,$Y102*(1+$C$137)^AE$4,IF(AND(MOD(AE$4,2)=0,AE$4&lt;=10),$Y102*(1+$C$137)^AE$4,IF(MOD(AE$4,5)=0,$Y102*(1+$C$137)^AE$4, 0)))))</f>
        <v>1800</v>
      </c>
      <c r="AF102" s="748">
        <f>IF(AF$4=0,$P102,IF(AF$4&lt;4,$U102*(1+$C$137)^AF$4,IF(AF$4&lt;7,$Y102*(1+$C$137)^AF$4,IF(AND(MOD(AF$4,2)=0,AF$4&lt;=10),$Y102*(1+$C$137)^AF$4,IF(MOD(AF$4,5)=0,$Y102*(1+$C$137)^AF$4, 0)))))</f>
        <v>1844.9999999999998</v>
      </c>
      <c r="AG102" s="748">
        <f>IF(AG$4=0,$P102,IF(AG$4&lt;4,$U102*(1+$C$137)^AG$4,IF(AG$4&lt;7,$Y102*(1+$C$137)^AG$4,IF(AND(MOD(AG$4,2)=0,AG$4&lt;=10),$Y102*(1+$C$137)^AG$4,IF(MOD(AG$4,5)=0,$Y102*(1+$C$137)^AG$4, 0)))))</f>
        <v>1891.1249999999998</v>
      </c>
      <c r="AH102" s="748">
        <f>IF(AH$4=0,$P102,IF(AH$4&lt;4,$U102*(1+$C$137)^AH$4,IF(AH$4&lt;7,$Y102*(1+$C$137)^AH$4,IF(AND(MOD(AH$4,2)=0,AH$4&lt;=10),$Y102*(1+$C$137)^AH$4,IF(MOD(AH$4,5)=0,$Y102*(1+$C$137)^AH$4, 0)))))</f>
        <v>1938.4031249999998</v>
      </c>
      <c r="AI102" s="748">
        <f>IF(AI$4=0,$P102,IF(AI$4&lt;4,$U102*(1+$C$137)^AI$4,IF(AI$4&lt;7,$Y102*(1+$C$137)^AI$4,IF(AND(MOD(AI$4,2)=0,AI$4&lt;=10),$Y102*(1+$C$137)^AI$4,IF(MOD(AI$4,5)=0,$Y102*(1+$C$137)^AI$4, 0)))))</f>
        <v>993.43160156249974</v>
      </c>
      <c r="AJ102" s="748">
        <f>IF(AJ$4=0,$P102,IF(AJ$4&lt;4,$U102*(1+$C$137)^AJ$4,IF(AJ$4&lt;7,$Y102*(1+$C$137)^AJ$4,IF(AND(MOD(AJ$4,2)=0,AJ$4&lt;=10),$Y102*(1+$C$137)^AJ$4,IF(MOD(AJ$4,5)=0,$Y102*(1+$C$137)^AJ$4, 0)))))</f>
        <v>1018.2673916015622</v>
      </c>
      <c r="AK102" s="748">
        <f>IF(AK$4=0,$P102,IF(AK$4&lt;4,$U102*(1+$C$137)^AK$4,IF(AK$4&lt;7,$Y102*(1+$C$137)^AK$4,IF(AND(MOD(AK$4,2)=0,AK$4&lt;=10),$Y102*(1+$C$137)^AK$4,IF(MOD(AK$4,5)=0,$Y102*(1+$C$137)^AK$4, 0)))))</f>
        <v>1043.7240763916011</v>
      </c>
      <c r="AL102" s="748">
        <f>IF(AL$4=0,$P102,IF(AL$4&lt;4,$U102*(1+$C$137)^AL$4,IF(AL$4&lt;7,$Y102*(1+$C$137)^AL$4,IF(AND(MOD(AL$4,2)=0,AL$4&lt;=10),$Y102*(1+$C$137)^AL$4,IF(MOD(AL$4,5)=0,$Y102*(1+$C$137)^AL$4, 0)))))</f>
        <v>0</v>
      </c>
      <c r="AM102" s="748">
        <f>IF(AM$4=0,$P102,IF(AM$4&lt;4,$U102*(1+$C$137)^AM$4,IF(AM$4&lt;7,$Y102*(1+$C$137)^AM$4,IF(AND(MOD(AM$4,2)=0,AM$4&lt;=10),$Y102*(1+$C$137)^AM$4,IF(MOD(AM$4,5)=0,$Y102*(1+$C$137)^AM$4, 0)))))</f>
        <v>1096.5626077589259</v>
      </c>
      <c r="AN102" s="748">
        <f>IF(AN$4=0,$P102,IF(AN$4&lt;4,$U102*(1+$C$137)^AN$4,IF(AN$4&lt;7,$Y102*(1+$C$137)^AN$4,IF(AND(MOD(AN$4,2)=0,AN$4&lt;=10),$Y102*(1+$C$137)^AN$4,IF(MOD(AN$4,5)=0,$Y102*(1+$C$137)^AN$4, 0)))))</f>
        <v>0</v>
      </c>
      <c r="AO102" s="748">
        <f>IF(AO$4=0,$P102,IF(AO$4&lt;4,$U102*(1+$C$137)^AO$4,IF(AO$4&lt;7,$Y102*(1+$C$137)^AO$4,IF(AND(MOD(AO$4,2)=0,AO$4&lt;=10),$Y102*(1+$C$137)^AO$4,IF(MOD(AO$4,5)=0,$Y102*(1+$C$137)^AO$4, 0)))))</f>
        <v>1152.0760897767213</v>
      </c>
      <c r="AP102" s="748">
        <f>IF(AP$4=0,$P102,IF(AP$4&lt;4,$U102*(1+$C$137)^AP$4,IF(AP$4&lt;7,$Y102*(1+$C$137)^AP$4,IF(AND(MOD(AP$4,2)=0,AP$4&lt;=10),$Y102*(1+$C$137)^AP$4,IF(MOD(AP$4,5)=0,$Y102*(1+$C$137)^AP$4, 0)))))</f>
        <v>0</v>
      </c>
      <c r="AQ102" s="748">
        <f>IF(AQ$4=0,$P102,IF(AQ$4&lt;4,$U102*(1+$C$137)^AQ$4,IF(AQ$4&lt;7,$Y102*(1+$C$137)^AQ$4,IF(AND(MOD(AQ$4,2)=0,AQ$4&lt;=10),$Y102*(1+$C$137)^AQ$4,IF(MOD(AQ$4,5)=0,$Y102*(1+$C$137)^AQ$4, 0)))))</f>
        <v>0</v>
      </c>
      <c r="AR102" s="748">
        <f>IF(AR$4=0,$P102,IF(AR$4&lt;4,$U102*(1+$C$137)^AR$4,IF(AR$4&lt;7,$Y102*(1+$C$137)^AR$4,IF(AND(MOD(AR$4,2)=0,AR$4&lt;=10),$Y102*(1+$C$137)^AR$4,IF(MOD(AR$4,5)=0,$Y102*(1+$C$137)^AR$4, 0)))))</f>
        <v>0</v>
      </c>
      <c r="AS102" s="748">
        <f>IF(AS$4=0,$P102,IF(AS$4&lt;4,$U102*(1+$C$137)^AS$4,IF(AS$4&lt;7,$Y102*(1+$C$137)^AS$4,IF(AND(MOD(AS$4,2)=0,AS$4&lt;=10),$Y102*(1+$C$137)^AS$4,IF(MOD(AS$4,5)=0,$Y102*(1+$C$137)^AS$4, 0)))))</f>
        <v>0</v>
      </c>
      <c r="AT102" s="748">
        <f>IF(AT$4=0,$P102,IF(AT$4&lt;4,$U102*(1+$C$137)^AT$4,IF(AT$4&lt;7,$Y102*(1+$C$137)^AT$4,IF(AND(MOD(AT$4,2)=0,AT$4&lt;=10),$Y102*(1+$C$137)^AT$4,IF(MOD(AT$4,5)=0,$Y102*(1+$C$137)^AT$4, 0)))))</f>
        <v>1303.4683498482993</v>
      </c>
      <c r="AU102" s="748">
        <f>IF(AU$4=0,$P102,IF(AU$4&lt;4,$U102*(1+$C$137)^AU$4,IF(AU$4&lt;7,$Y102*(1+$C$137)^AU$4,IF(AND(MOD(AU$4,2)=0,AU$4&lt;=10),$Y102*(1+$C$137)^AU$4,IF(MOD(AU$4,5)=0,$Y102*(1+$C$137)^AU$4, 0)))))</f>
        <v>0</v>
      </c>
      <c r="AV102" s="748">
        <f>IF(AV$4=0,$P102,IF(AV$4&lt;4,$U102*(1+$C$137)^AV$4,IF(AV$4&lt;7,$Y102*(1+$C$137)^AV$4,IF(AND(MOD(AV$4,2)=0,AV$4&lt;=10),$Y102*(1+$C$137)^AV$4,IF(MOD(AV$4,5)=0,$Y102*(1+$C$137)^AV$4, 0)))))</f>
        <v>0</v>
      </c>
      <c r="AW102" s="748">
        <f>IF(AW$4=0,$P102,IF(AW$4&lt;4,$U102*(1+$C$137)^AW$4,IF(AW$4&lt;7,$Y102*(1+$C$137)^AW$4,IF(AND(MOD(AW$4,2)=0,AW$4&lt;=10),$Y102*(1+$C$137)^AW$4,IF(MOD(AW$4,5)=0,$Y102*(1+$C$137)^AW$4, 0)))))</f>
        <v>0</v>
      </c>
      <c r="AX102" s="748">
        <f>IF(AX$4=0,$P102,IF(AX$4&lt;4,$U102*(1+$C$137)^AX$4,IF(AX$4&lt;7,$Y102*(1+$C$137)^AX$4,IF(AND(MOD(AX$4,2)=0,AX$4&lt;=10),$Y102*(1+$C$137)^AX$4,IF(MOD(AX$4,5)=0,$Y102*(1+$C$137)^AX$4, 0)))))</f>
        <v>0</v>
      </c>
      <c r="AY102" s="748">
        <f>IF(AY$4=0,$P102,IF(AY$4&lt;4,$U102*(1+$C$137)^AY$4,IF(AY$4&lt;7,$Y102*(1+$C$137)^AY$4,IF(AND(MOD(AY$4,2)=0,AY$4&lt;=10),$Y102*(1+$C$137)^AY$4,IF(MOD(AY$4,5)=0,$Y102*(1+$C$137)^AY$4, 0)))))</f>
        <v>1474.754796261356</v>
      </c>
      <c r="AZ102" s="748">
        <f>IF(AZ$4=0,$P102,IF(AZ$4&lt;4,$U102*(1+$C$137)^AZ$4,IF(AZ$4&lt;7,$Y102*(1+$C$137)^AZ$4,IF(AND(MOD(AZ$4,2)=0,AZ$4&lt;=10),$Y102*(1+$C$137)^AZ$4,IF(MOD(AZ$4,5)=0,$Y102*(1+$C$137)^AZ$4, 0)))))</f>
        <v>0</v>
      </c>
      <c r="BA102" s="748">
        <f>IF(BA$4=0,$P102,IF(BA$4&lt;4,$U102*(1+$C$137)^BA$4,IF(BA$4&lt;7,$Y102*(1+$C$137)^BA$4,IF(AND(MOD(BA$4,2)=0,BA$4&lt;=10),$Y102*(1+$C$137)^BA$4,IF(MOD(BA$4,5)=0,$Y102*(1+$C$137)^BA$4, 0)))))</f>
        <v>0</v>
      </c>
      <c r="BB102" s="748">
        <f>IF(BB$4=0,$P102,IF(BB$4&lt;4,$U102*(1+$C$137)^BB$4,IF(BB$4&lt;7,$Y102*(1+$C$137)^BB$4,IF(AND(MOD(BB$4,2)=0,BB$4&lt;=10),$Y102*(1+$C$137)^BB$4,IF(MOD(BB$4,5)=0,$Y102*(1+$C$137)^BB$4, 0)))))</f>
        <v>0</v>
      </c>
      <c r="BC102" s="748">
        <f>IF(BC$4=0,$P102,IF(BC$4&lt;4,$U102*(1+$C$137)^BC$4,IF(BC$4&lt;7,$Y102*(1+$C$137)^BC$4,IF(AND(MOD(BC$4,2)=0,BC$4&lt;=10),$Y102*(1+$C$137)^BC$4,IF(MOD(BC$4,5)=0,$Y102*(1+$C$137)^BC$4, 0)))))</f>
        <v>0</v>
      </c>
      <c r="BD102" s="748">
        <f>IF(BD$4=0,$P102,IF(BD$4&lt;4,$U102*(1+$C$137)^BD$4,IF(BD$4&lt;7,$Y102*(1+$C$137)^BD$4,IF(AND(MOD(BD$4,2)=0,BD$4&lt;=10),$Y102*(1+$C$137)^BD$4,IF(MOD(BD$4,5)=0,$Y102*(1+$C$137)^BD$4, 0)))))</f>
        <v>1668.549688489938</v>
      </c>
      <c r="BE102" s="748">
        <f>IF(BE$4=0,$P102,IF(BE$4&lt;4,$U102*(1+$C$137)^BE$4,IF(BE$4&lt;7,$Y102*(1+$C$137)^BE$4,IF(AND(MOD(BE$4,2)=0,BE$4&lt;=10),$Y102*(1+$C$137)^BE$4,IF(MOD(BE$4,5)=0,$Y102*(1+$C$137)^BE$4, 0)))))</f>
        <v>0</v>
      </c>
      <c r="BF102" s="748">
        <f>IF(BF$4=0,$P102,IF(BF$4&lt;4,$U102*(1+$C$137)^BF$4,IF(BF$4&lt;7,$Y102*(1+$C$137)^BF$4,IF(AND(MOD(BF$4,2)=0,BF$4&lt;=10),$Y102*(1+$C$137)^BF$4,IF(MOD(BF$4,5)=0,$Y102*(1+$C$137)^BF$4, 0)))))</f>
        <v>0</v>
      </c>
      <c r="BG102" s="748">
        <f>IF(BG$4=0,$P102,IF(BG$4&lt;4,$U102*(1+$C$137)^BG$4,IF(BG$4&lt;7,$Y102*(1+$C$137)^BG$4,IF(AND(MOD(BG$4,2)=0,BG$4&lt;=10),$Y102*(1+$C$137)^BG$4,IF(MOD(BG$4,5)=0,$Y102*(1+$C$137)^BG$4, 0)))))</f>
        <v>0</v>
      </c>
      <c r="BH102" s="748">
        <f>IF(BH$4=0,$P102,IF(BH$4&lt;4,$U102*(1+$C$137)^BH$4,IF(BH$4&lt;7,$Y102*(1+$C$137)^BH$4,IF(AND(MOD(BH$4,2)=0,BH$4&lt;=10),$Y102*(1+$C$137)^BH$4,IF(MOD(BH$4,5)=0,$Y102*(1+$C$137)^BH$4, 0)))))</f>
        <v>0</v>
      </c>
      <c r="BI102" s="748">
        <f>IF(BI$4=0,$P102,IF(BI$4&lt;4,$U102*(1+$C$137)^BI$4,IF(BI$4&lt;7,$Y102*(1+$C$137)^BI$4,IF(AND(MOD(BI$4,2)=0,BI$4&lt;=10),$Y102*(1+$C$137)^BI$4,IF(MOD(BI$4,5)=0,$Y102*(1+$C$137)^BI$4, 0)))))</f>
        <v>1887.8108211736092</v>
      </c>
      <c r="BJ102" s="748">
        <f>IF(BJ$4=0,$P102,IF(BJ$4&lt;4,$U102*(1+$C$137)^BJ$4,IF(BJ$4&lt;7,$Y102*(1+$C$137)^BJ$4,IF(AND(MOD(BJ$4,2)=0,BJ$4&lt;=10),$Y102*(1+$C$137)^BJ$4,IF(MOD(BJ$4,5)=0,$Y102*(1+$C$137)^BJ$4, 0)))))</f>
        <v>0</v>
      </c>
      <c r="BK102" s="748">
        <f>IF(BK$4=0,$P102,IF(BK$4&lt;4,$U102*(1+$C$137)^BK$4,IF(BK$4&lt;7,$Y102*(1+$C$137)^BK$4,IF(AND(MOD(BK$4,2)=0,BK$4&lt;=10),$Y102*(1+$C$137)^BK$4,IF(MOD(BK$4,5)=0,$Y102*(1+$C$137)^BK$4, 0)))))</f>
        <v>0</v>
      </c>
      <c r="BL102" s="748">
        <f>IF(BL$4=0,$P102,IF(BL$4&lt;4,$U102*(1+$C$137)^BL$4,IF(BL$4&lt;7,$Y102*(1+$C$137)^BL$4,IF(AND(MOD(BL$4,2)=0,BL$4&lt;=10),$Y102*(1+$C$137)^BL$4,IF(MOD(BL$4,5)=0,$Y102*(1+$C$137)^BL$4, 0)))))</f>
        <v>0</v>
      </c>
      <c r="BM102" s="748">
        <f>IF(BM$4=0,$P102,IF(BM$4&lt;4,$U102*(1+$C$137)^BM$4,IF(BM$4&lt;7,$Y102*(1+$C$137)^BM$4,IF(AND(MOD(BM$4,2)=0,BM$4&lt;=10),$Y102*(1+$C$137)^BM$4,IF(MOD(BM$4,5)=0,$Y102*(1+$C$137)^BM$4, 0)))))</f>
        <v>0</v>
      </c>
      <c r="BN102" s="748">
        <f>IF(BN$4=0,$P102,IF(BN$4&lt;4,$U102*(1+$C$137)^BN$4,IF(BN$4&lt;7,$Y102*(1+$C$137)^BN$4,IF(AND(MOD(BN$4,2)=0,BN$4&lt;=10),$Y102*(1+$C$137)^BN$4,IF(MOD(BN$4,5)=0,$Y102*(1+$C$137)^BN$4, 0)))))</f>
        <v>2135.8846674596161</v>
      </c>
      <c r="BO102" s="748">
        <f>IF(BO$4=0,$P102,IF(BO$4&lt;4,$U102*(1+$C$137)^BO$4,IF(BO$4&lt;7,$Y102*(1+$C$137)^BO$4,IF(AND(MOD(BO$4,2)=0,BO$4&lt;=10),$Y102*(1+$C$137)^BO$4,IF(MOD(BO$4,5)=0,$Y102*(1+$C$137)^BO$4, 0)))))</f>
        <v>0</v>
      </c>
      <c r="BP102" s="748">
        <f>IF(BP$4=0,$P102,IF(BP$4&lt;4,$U102*(1+$C$137)^BP$4,IF(BP$4&lt;7,$Y102*(1+$C$137)^BP$4,IF(AND(MOD(BP$4,2)=0,BP$4&lt;=10),$Y102*(1+$C$137)^BP$4,IF(MOD(BP$4,5)=0,$Y102*(1+$C$137)^BP$4, 0)))))</f>
        <v>0</v>
      </c>
      <c r="BQ102" s="748">
        <f>IF(BQ$4=0,$P102,IF(BQ$4&lt;4,$U102*(1+$C$137)^BQ$4,IF(BQ$4&lt;7,$Y102*(1+$C$137)^BQ$4,IF(AND(MOD(BQ$4,2)=0,BQ$4&lt;=10),$Y102*(1+$C$137)^BQ$4,IF(MOD(BQ$4,5)=0,$Y102*(1+$C$137)^BQ$4, 0)))))</f>
        <v>0</v>
      </c>
      <c r="BR102" s="748">
        <f>IF(BR$4=0,$P102,IF(BR$4&lt;4,$U102*(1+$C$137)^BR$4,IF(BR$4&lt;7,$Y102*(1+$C$137)^BR$4,IF(AND(MOD(BR$4,2)=0,BR$4&lt;=10),$Y102*(1+$C$137)^BR$4,IF(MOD(BR$4,5)=0,$Y102*(1+$C$137)^BR$4, 0)))))</f>
        <v>0</v>
      </c>
      <c r="BS102" s="748">
        <f>IF(BS$4=0,$P102,IF(BS$4&lt;4,$U102*(1+$C$137)^BS$4,IF(BS$4&lt;7,$Y102*(1+$C$137)^BS$4,IF(AND(MOD(BS$4,2)=0,BS$4&lt;=10),$Y102*(1+$C$137)^BS$4,IF(MOD(BS$4,5)=0,$Y102*(1+$C$137)^BS$4, 0)))))</f>
        <v>2416.5574545509703</v>
      </c>
      <c r="BT102" s="1"/>
      <c r="BU102" s="2"/>
      <c r="BV102" s="93"/>
      <c r="BW102" s="2"/>
      <c r="BX102" s="93"/>
      <c r="BY102" s="2"/>
    </row>
    <row r="103" spans="1:77" ht="18" thickTop="1" thickBot="1" x14ac:dyDescent="0.2">
      <c r="A103" s="762"/>
      <c r="B103" s="1091" t="str">
        <f>"Total "&amp;B97&amp;" Expenses"</f>
        <v>Total Monitoring and Evaluation Expenses</v>
      </c>
      <c r="C103" s="1092"/>
      <c r="D103" s="1092"/>
      <c r="E103" s="763"/>
      <c r="F103" s="764"/>
      <c r="G103" s="764"/>
      <c r="H103" s="764"/>
      <c r="I103" s="765" t="s">
        <v>107</v>
      </c>
      <c r="J103" s="766"/>
      <c r="K103" s="767"/>
      <c r="L103" s="768">
        <f>SUM(L99:L102)</f>
        <v>0</v>
      </c>
      <c r="M103" s="769" t="s">
        <v>51</v>
      </c>
      <c r="N103" s="767"/>
      <c r="O103" s="770">
        <f>SUM(O99:O102)</f>
        <v>2050</v>
      </c>
      <c r="P103" s="771">
        <f>SUM(P99:P102)</f>
        <v>2050</v>
      </c>
      <c r="Q103" s="767"/>
      <c r="R103" s="767"/>
      <c r="S103" s="767"/>
      <c r="T103" s="772"/>
      <c r="U103" s="768">
        <f>SUM(U99:U102)</f>
        <v>6425</v>
      </c>
      <c r="V103" s="1093" t="s">
        <v>53</v>
      </c>
      <c r="W103" s="1092"/>
      <c r="X103" s="1092"/>
      <c r="Y103" s="773">
        <f>SUM(Y99:Y102)</f>
        <v>5525</v>
      </c>
      <c r="Z103" s="1047"/>
      <c r="AA103" s="774">
        <f>SUM(AA99:AA102)</f>
        <v>55852.083014744865</v>
      </c>
      <c r="AB103" s="775"/>
      <c r="AC103" s="774">
        <f t="shared" ref="AC103:BS103" si="63">SUM(AC99:AC102)</f>
        <v>4625</v>
      </c>
      <c r="AD103" s="774">
        <f t="shared" si="63"/>
        <v>0</v>
      </c>
      <c r="AE103" s="774">
        <f t="shared" si="63"/>
        <v>1800</v>
      </c>
      <c r="AF103" s="774">
        <f t="shared" si="63"/>
        <v>2095</v>
      </c>
      <c r="AG103" s="774">
        <f t="shared" si="63"/>
        <v>6737.609375</v>
      </c>
      <c r="AH103" s="774">
        <f t="shared" si="63"/>
        <v>6899.7996093749989</v>
      </c>
      <c r="AI103" s="774">
        <f t="shared" si="63"/>
        <v>6072.6129980468741</v>
      </c>
      <c r="AJ103" s="774">
        <f t="shared" si="63"/>
        <v>6218.1783229980447</v>
      </c>
      <c r="AK103" s="774">
        <f t="shared" si="63"/>
        <v>6367.3827810729963</v>
      </c>
      <c r="AL103" s="774">
        <f t="shared" si="63"/>
        <v>1069.8171783013913</v>
      </c>
      <c r="AM103" s="774">
        <f t="shared" si="63"/>
        <v>6677.0752843648161</v>
      </c>
      <c r="AN103" s="774">
        <f t="shared" si="63"/>
        <v>1123.976672952899</v>
      </c>
      <c r="AO103" s="774">
        <f t="shared" si="63"/>
        <v>7002.4459706357839</v>
      </c>
      <c r="AP103" s="774">
        <f t="shared" si="63"/>
        <v>1180.8779920211393</v>
      </c>
      <c r="AQ103" s="774">
        <f t="shared" si="63"/>
        <v>1210.3999418216679</v>
      </c>
      <c r="AR103" s="774">
        <f t="shared" si="63"/>
        <v>1240.6599403672094</v>
      </c>
      <c r="AS103" s="774">
        <f t="shared" si="63"/>
        <v>1271.6764388763895</v>
      </c>
      <c r="AT103" s="774">
        <f t="shared" si="63"/>
        <v>7889.7728282775324</v>
      </c>
      <c r="AU103" s="774">
        <f t="shared" si="63"/>
        <v>1336.0550585945068</v>
      </c>
      <c r="AV103" s="774">
        <f t="shared" si="63"/>
        <v>1369.4564350593694</v>
      </c>
      <c r="AW103" s="774">
        <f t="shared" si="63"/>
        <v>1403.6928459358535</v>
      </c>
      <c r="AX103" s="774">
        <f t="shared" si="63"/>
        <v>1438.7851670842499</v>
      </c>
      <c r="AY103" s="774">
        <f t="shared" si="63"/>
        <v>8893.7017225318359</v>
      </c>
      <c r="AZ103" s="774">
        <f t="shared" si="63"/>
        <v>1511.6236661678897</v>
      </c>
      <c r="BA103" s="774">
        <f t="shared" si="63"/>
        <v>1549.4142578220869</v>
      </c>
      <c r="BB103" s="774">
        <f t="shared" si="63"/>
        <v>1588.1496142676392</v>
      </c>
      <c r="BC103" s="774">
        <f t="shared" si="63"/>
        <v>1627.85335462433</v>
      </c>
      <c r="BD103" s="774">
        <f t="shared" si="63"/>
        <v>10029.555118649359</v>
      </c>
      <c r="BE103" s="774">
        <f t="shared" si="63"/>
        <v>1710.2634307021863</v>
      </c>
      <c r="BF103" s="774">
        <f t="shared" si="63"/>
        <v>1753.020016469741</v>
      </c>
      <c r="BG103" s="774">
        <f t="shared" si="63"/>
        <v>1796.8455168814844</v>
      </c>
      <c r="BH103" s="774">
        <f t="shared" si="63"/>
        <v>1841.7666548035215</v>
      </c>
      <c r="BI103" s="774">
        <f t="shared" si="63"/>
        <v>11314.668979656431</v>
      </c>
      <c r="BJ103" s="774">
        <f t="shared" si="63"/>
        <v>1935.00609170295</v>
      </c>
      <c r="BK103" s="774">
        <f t="shared" si="63"/>
        <v>1983.3812439955234</v>
      </c>
      <c r="BL103" s="774">
        <f t="shared" si="63"/>
        <v>2032.9657750954113</v>
      </c>
      <c r="BM103" s="774">
        <f t="shared" si="63"/>
        <v>2083.7899194727966</v>
      </c>
      <c r="BN103" s="774">
        <f t="shared" si="63"/>
        <v>12768.657356499418</v>
      </c>
      <c r="BO103" s="774">
        <f t="shared" si="63"/>
        <v>2189.2817841461069</v>
      </c>
      <c r="BP103" s="774">
        <f t="shared" si="63"/>
        <v>2244.0138287497593</v>
      </c>
      <c r="BQ103" s="774">
        <f t="shared" si="63"/>
        <v>2300.1141744685028</v>
      </c>
      <c r="BR103" s="774">
        <f t="shared" si="63"/>
        <v>2357.6170288302155</v>
      </c>
      <c r="BS103" s="774">
        <f t="shared" si="63"/>
        <v>14413.711747507077</v>
      </c>
      <c r="BT103" s="775"/>
      <c r="BU103" s="775"/>
      <c r="BV103" s="776" t="s">
        <v>50</v>
      </c>
      <c r="BW103" s="775"/>
      <c r="BX103" s="776" t="str">
        <f>$B$97</f>
        <v>Monitoring and Evaluation</v>
      </c>
      <c r="BY103" s="775"/>
    </row>
    <row r="104" spans="1:77" ht="15" x14ac:dyDescent="0.15">
      <c r="A104" s="605"/>
      <c r="B104" s="777"/>
      <c r="C104" s="777"/>
      <c r="D104" s="777"/>
      <c r="E104" s="777"/>
      <c r="F104" s="778"/>
      <c r="G104" s="778"/>
      <c r="H104" s="779"/>
      <c r="I104" s="780"/>
      <c r="J104" s="781"/>
      <c r="K104" s="782"/>
      <c r="L104" s="782"/>
      <c r="M104" s="783"/>
      <c r="N104" s="784"/>
      <c r="O104" s="782"/>
      <c r="P104" s="785"/>
      <c r="Q104" s="786"/>
      <c r="R104" s="786"/>
      <c r="S104" s="786"/>
      <c r="T104" s="787"/>
      <c r="U104" s="785"/>
      <c r="V104" s="777"/>
      <c r="W104" s="777"/>
      <c r="X104" s="788"/>
      <c r="Y104" s="785"/>
      <c r="Z104" s="786"/>
      <c r="AA104" s="789"/>
      <c r="AB104" s="631"/>
      <c r="AC104" s="790"/>
      <c r="AD104" s="790"/>
      <c r="AE104" s="790"/>
      <c r="AF104" s="790"/>
      <c r="AG104" s="790"/>
      <c r="AH104" s="790"/>
      <c r="AI104" s="790"/>
      <c r="AJ104" s="790"/>
      <c r="AK104" s="790"/>
      <c r="AL104" s="790"/>
      <c r="AM104" s="790"/>
      <c r="AN104" s="790"/>
      <c r="AO104" s="790"/>
      <c r="AP104" s="790"/>
      <c r="AQ104" s="790"/>
      <c r="AR104" s="790"/>
      <c r="AS104" s="790"/>
      <c r="AT104" s="790"/>
      <c r="AU104" s="790"/>
      <c r="AV104" s="790"/>
      <c r="AW104" s="790"/>
      <c r="AX104" s="790"/>
      <c r="AY104" s="790"/>
      <c r="AZ104" s="790"/>
      <c r="BA104" s="790"/>
      <c r="BB104" s="790"/>
      <c r="BC104" s="790"/>
      <c r="BD104" s="790"/>
      <c r="BE104" s="790"/>
      <c r="BF104" s="790"/>
      <c r="BG104" s="790"/>
      <c r="BH104" s="790"/>
      <c r="BI104" s="790"/>
      <c r="BJ104" s="790"/>
      <c r="BK104" s="790"/>
      <c r="BL104" s="790"/>
      <c r="BM104" s="790"/>
      <c r="BN104" s="790"/>
      <c r="BO104" s="790"/>
      <c r="BP104" s="790"/>
      <c r="BQ104" s="790"/>
      <c r="BR104" s="790"/>
      <c r="BS104" s="790"/>
      <c r="BT104" s="302"/>
      <c r="BU104" s="605"/>
      <c r="BV104" s="620"/>
      <c r="BW104" s="605"/>
      <c r="BX104" s="620"/>
      <c r="BY104" s="605"/>
    </row>
    <row r="105" spans="1:77" ht="9" customHeight="1" x14ac:dyDescent="0.15">
      <c r="A105" s="605"/>
      <c r="B105" s="291"/>
      <c r="C105" s="291"/>
      <c r="D105" s="291"/>
      <c r="E105" s="291"/>
      <c r="F105" s="379"/>
      <c r="G105" s="379"/>
      <c r="H105" s="621"/>
      <c r="I105" s="620"/>
      <c r="J105" s="622"/>
      <c r="K105" s="624"/>
      <c r="L105" s="624"/>
      <c r="M105" s="625"/>
      <c r="N105" s="626"/>
      <c r="O105" s="624"/>
      <c r="P105" s="627"/>
      <c r="Q105" s="302"/>
      <c r="R105" s="302"/>
      <c r="S105" s="302"/>
      <c r="T105" s="628"/>
      <c r="U105" s="627"/>
      <c r="V105" s="291"/>
      <c r="W105" s="291"/>
      <c r="X105" s="629"/>
      <c r="Y105" s="627"/>
      <c r="Z105" s="302"/>
      <c r="AA105" s="631"/>
      <c r="AB105" s="631"/>
      <c r="AC105" s="632"/>
      <c r="AD105" s="632"/>
      <c r="AE105" s="632"/>
      <c r="AF105" s="632"/>
      <c r="AG105" s="632"/>
      <c r="AH105" s="632"/>
      <c r="AI105" s="632"/>
      <c r="AJ105" s="632"/>
      <c r="AK105" s="632"/>
      <c r="AL105" s="632"/>
      <c r="AM105" s="632"/>
      <c r="AN105" s="632"/>
      <c r="AO105" s="632"/>
      <c r="AP105" s="632"/>
      <c r="AQ105" s="632"/>
      <c r="AR105" s="632"/>
      <c r="AS105" s="632"/>
      <c r="AT105" s="632"/>
      <c r="AU105" s="632"/>
      <c r="AV105" s="632"/>
      <c r="AW105" s="632"/>
      <c r="AX105" s="632"/>
      <c r="AY105" s="632"/>
      <c r="AZ105" s="632"/>
      <c r="BA105" s="632"/>
      <c r="BB105" s="632"/>
      <c r="BC105" s="632"/>
      <c r="BD105" s="632"/>
      <c r="BE105" s="632"/>
      <c r="BF105" s="632"/>
      <c r="BG105" s="632"/>
      <c r="BH105" s="632"/>
      <c r="BI105" s="632"/>
      <c r="BJ105" s="632"/>
      <c r="BK105" s="632"/>
      <c r="BL105" s="632"/>
      <c r="BM105" s="632"/>
      <c r="BN105" s="632"/>
      <c r="BO105" s="632"/>
      <c r="BP105" s="632"/>
      <c r="BQ105" s="632"/>
      <c r="BR105" s="632"/>
      <c r="BS105" s="632"/>
      <c r="BT105" s="302"/>
      <c r="BU105" s="605"/>
      <c r="BV105" s="620"/>
      <c r="BW105" s="605"/>
      <c r="BX105" s="620"/>
      <c r="BY105" s="605"/>
    </row>
    <row r="106" spans="1:77" ht="9.75" customHeight="1" x14ac:dyDescent="0.15">
      <c r="A106" s="605"/>
      <c r="B106" s="291"/>
      <c r="C106" s="291"/>
      <c r="D106" s="291"/>
      <c r="E106" s="291"/>
      <c r="F106" s="379"/>
      <c r="G106" s="379"/>
      <c r="H106" s="621"/>
      <c r="I106" s="620"/>
      <c r="J106" s="622"/>
      <c r="K106" s="624"/>
      <c r="L106" s="624"/>
      <c r="M106" s="625"/>
      <c r="N106" s="626"/>
      <c r="O106" s="624"/>
      <c r="P106" s="627"/>
      <c r="Q106" s="302"/>
      <c r="R106" s="302"/>
      <c r="S106" s="302"/>
      <c r="T106" s="628"/>
      <c r="U106" s="627"/>
      <c r="V106" s="291"/>
      <c r="W106" s="291"/>
      <c r="X106" s="629"/>
      <c r="Y106" s="627"/>
      <c r="Z106" s="302"/>
      <c r="AA106" s="631"/>
      <c r="AB106" s="631"/>
      <c r="AC106" s="632"/>
      <c r="AD106" s="632"/>
      <c r="AE106" s="632"/>
      <c r="AF106" s="632"/>
      <c r="AG106" s="632"/>
      <c r="AH106" s="632"/>
      <c r="AI106" s="632"/>
      <c r="AJ106" s="632"/>
      <c r="AK106" s="632"/>
      <c r="AL106" s="632"/>
      <c r="AM106" s="632"/>
      <c r="AN106" s="632"/>
      <c r="AO106" s="632"/>
      <c r="AP106" s="632"/>
      <c r="AQ106" s="632"/>
      <c r="AR106" s="632"/>
      <c r="AS106" s="632"/>
      <c r="AT106" s="632"/>
      <c r="AU106" s="632"/>
      <c r="AV106" s="632"/>
      <c r="AW106" s="632"/>
      <c r="AX106" s="632"/>
      <c r="AY106" s="632"/>
      <c r="AZ106" s="632"/>
      <c r="BA106" s="632"/>
      <c r="BB106" s="632"/>
      <c r="BC106" s="632"/>
      <c r="BD106" s="632"/>
      <c r="BE106" s="632"/>
      <c r="BF106" s="632"/>
      <c r="BG106" s="632"/>
      <c r="BH106" s="632"/>
      <c r="BI106" s="632"/>
      <c r="BJ106" s="632"/>
      <c r="BK106" s="632"/>
      <c r="BL106" s="632"/>
      <c r="BM106" s="632"/>
      <c r="BN106" s="632"/>
      <c r="BO106" s="632"/>
      <c r="BP106" s="632"/>
      <c r="BQ106" s="632"/>
      <c r="BR106" s="632"/>
      <c r="BS106" s="632"/>
      <c r="BT106" s="302"/>
      <c r="BU106" s="605"/>
      <c r="BV106" s="620"/>
      <c r="BW106" s="605"/>
      <c r="BX106" s="620"/>
      <c r="BY106" s="605"/>
    </row>
    <row r="107" spans="1:77" ht="16" x14ac:dyDescent="0.15">
      <c r="A107" s="291"/>
      <c r="B107" s="1082" t="s">
        <v>152</v>
      </c>
      <c r="C107" s="1049"/>
      <c r="D107" s="1049"/>
      <c r="E107" s="942"/>
      <c r="F107" s="943"/>
      <c r="G107" s="943"/>
      <c r="H107" s="944"/>
      <c r="I107" s="945"/>
      <c r="J107" s="946"/>
      <c r="K107" s="947"/>
      <c r="L107" s="948">
        <f>SUMIF($BV:$BV,"Total",L:L)</f>
        <v>210197.2322</v>
      </c>
      <c r="M107" s="949"/>
      <c r="N107" s="947"/>
      <c r="O107" s="948">
        <f>SUMIF($BV:$BV,"Total",O:O)</f>
        <v>88417.057000000001</v>
      </c>
      <c r="P107" s="948">
        <f>SUMIF($BV:$BV,"Total",P:P)</f>
        <v>298614.2892</v>
      </c>
      <c r="Q107" s="1083" t="s">
        <v>153</v>
      </c>
      <c r="R107" s="1049"/>
      <c r="S107" s="1049"/>
      <c r="T107" s="1049"/>
      <c r="U107" s="948">
        <f>SUMIF($BV:$BV,"Total",U:U)</f>
        <v>24250.939460000001</v>
      </c>
      <c r="V107" s="942" t="s">
        <v>53</v>
      </c>
      <c r="W107" s="950"/>
      <c r="X107" s="951"/>
      <c r="Y107" s="1046">
        <f>SUMIF($BV:$BV,"Total",Y:Y)</f>
        <v>22061.303</v>
      </c>
      <c r="Z107" s="345"/>
      <c r="AA107" s="953">
        <f>SUMIF($BV:$BV,"Total",AA:AA)</f>
        <v>655419.90069738345</v>
      </c>
      <c r="AB107" s="345"/>
      <c r="AC107" s="953">
        <f>SUMIF($BV:$BV,"Total",AC:AC)</f>
        <v>4625</v>
      </c>
      <c r="AD107" s="953">
        <f>SUMIF($BV:$BV,"Total",AD:AD)</f>
        <v>0</v>
      </c>
      <c r="AE107" s="953">
        <f>SUMIF($BV:$BV,"Total",AE:AE)</f>
        <v>298364.2892</v>
      </c>
      <c r="AF107" s="953">
        <f>SUMIF($BV:$BV,"Total",AF:AF)</f>
        <v>20345.366589999998</v>
      </c>
      <c r="AG107" s="953">
        <f>SUMIF($BV:$BV,"Total",AG:AG)</f>
        <v>25423.013773249997</v>
      </c>
      <c r="AH107" s="953">
        <f>SUMIF($BV:$BV,"Total",AH:AH)</f>
        <v>26031.117761081252</v>
      </c>
      <c r="AI107" s="953">
        <f>SUMIF($BV:$BV,"Total",AI:AI)</f>
        <v>23846.478038070309</v>
      </c>
      <c r="AJ107" s="953">
        <f>SUMIF($BV:$BV,"Total",AJ:AJ)</f>
        <v>24834.193544578709</v>
      </c>
      <c r="AK107" s="953">
        <f>SUMIF($BV:$BV,"Total",AK:AK)</f>
        <v>25001.185436872605</v>
      </c>
      <c r="AL107" s="953">
        <f>SUMIF($BV:$BV,"Total",AL:AL)</f>
        <v>20149.778825495996</v>
      </c>
      <c r="AM107" s="953">
        <f>SUMIF($BV:$BV,"Total",AM:AM)</f>
        <v>26214.349897739285</v>
      </c>
      <c r="AN107" s="953">
        <f>SUMIF($BV:$BV,"Total",AN:AN)</f>
        <v>21129.997076661726</v>
      </c>
      <c r="AO107" s="953">
        <f>SUMIF($BV:$BV,"Total",AO:AO)</f>
        <v>27488.930809437341</v>
      </c>
      <c r="AP107" s="953">
        <f>SUMIF($BV:$BV,"Total",AP:AP)</f>
        <v>22159.838876792724</v>
      </c>
      <c r="AQ107" s="953">
        <f>SUMIF($BV:$BV,"Total",AQ:AQ)</f>
        <v>22694.148773712554</v>
      </c>
      <c r="AR107" s="953">
        <f>SUMIF($BV:$BV,"Total",AR:AR)</f>
        <v>23241.816418055358</v>
      </c>
      <c r="AS107" s="953">
        <f>SUMIF($BV:$BV,"Total",AS:AS)</f>
        <v>23803.175753506745</v>
      </c>
      <c r="AT107" s="953">
        <f>SUMIF($BV:$BV,"Total",AT:AT)</f>
        <v>30964.873550773649</v>
      </c>
      <c r="AU107" s="953">
        <f>SUMIF($BV:$BV,"Total",AU:AU)</f>
        <v>24968.347224153025</v>
      </c>
      <c r="AV107" s="953">
        <f>SUMIF($BV:$BV,"Total",AV:AV)</f>
        <v>25572.869829756833</v>
      </c>
      <c r="AW107" s="953">
        <f>SUMIF($BV:$BV,"Total",AW:AW)</f>
        <v>26192.505500500771</v>
      </c>
      <c r="AX107" s="953">
        <f>SUMIF($BV:$BV,"Total",AX:AX)</f>
        <v>26827.63206301328</v>
      </c>
      <c r="AY107" s="953">
        <f>SUMIF($BV:$BV,"Total",AY:AY)</f>
        <v>34897.583715859088</v>
      </c>
      <c r="AZ107" s="953">
        <f>SUMIF($BV:$BV,"Total",AZ:AZ)</f>
        <v>28145.916634328318</v>
      </c>
      <c r="BA107" s="953">
        <f>SUMIF($BV:$BV,"Total",BA:BA)</f>
        <v>28829.878475186531</v>
      </c>
      <c r="BB107" s="953">
        <f>SUMIF($BV:$BV,"Total",BB:BB)</f>
        <v>29530.939362066201</v>
      </c>
      <c r="BC107" s="953">
        <f>SUMIF($BV:$BV,"Total",BC:BC)</f>
        <v>30249.526771117849</v>
      </c>
      <c r="BD107" s="953">
        <f>SUMIF($BV:$BV,"Total",BD:BD)</f>
        <v>39347.084295555214</v>
      </c>
      <c r="BE107" s="953">
        <f>SUMIF($BV:$BV,"Total",BE:BE)</f>
        <v>31741.044762030684</v>
      </c>
      <c r="BF107" s="953">
        <f>SUMIF($BV:$BV,"Total",BF:BF)</f>
        <v>32514.884806081442</v>
      </c>
      <c r="BG107" s="953">
        <f>SUMIF($BV:$BV,"Total",BG:BG)</f>
        <v>33308.070851233482</v>
      </c>
      <c r="BH107" s="953">
        <f>SUMIF($BV:$BV,"Total",BH:BH)</f>
        <v>34121.086547514322</v>
      </c>
      <c r="BI107" s="953">
        <f>SUMIF($BV:$BV,"Total",BI:BI)</f>
        <v>44381.285794684998</v>
      </c>
      <c r="BJ107" s="953">
        <f>SUMIF($BV:$BV,"Total",BJ:BJ)</f>
        <v>35808.602252107245</v>
      </c>
      <c r="BK107" s="953">
        <f>SUMIF($BV:$BV,"Total",BK:BK)</f>
        <v>36684.131233409906</v>
      </c>
      <c r="BL107" s="953">
        <f>SUMIF($BV:$BV,"Total",BL:BL)</f>
        <v>37581.548439245154</v>
      </c>
      <c r="BM107" s="953">
        <f>SUMIF($BV:$BV,"Total",BM:BM)</f>
        <v>38501.401075226291</v>
      </c>
      <c r="BN107" s="953">
        <f>SUMIF($BV:$BV,"Total",BN:BN)</f>
        <v>50077.022716146734</v>
      </c>
      <c r="BO107" s="953">
        <f>SUMIF($BV:$BV,"Total",BO:BO)</f>
        <v>40410.670202784611</v>
      </c>
      <c r="BP107" s="953">
        <f>SUMIF($BV:$BV,"Total",BP:BP)</f>
        <v>41401.25088285422</v>
      </c>
      <c r="BQ107" s="953">
        <f>SUMIF($BV:$BV,"Total",BQ:BQ)</f>
        <v>42416.59607992557</v>
      </c>
      <c r="BR107" s="953">
        <f>SUMIF($BV:$BV,"Total",BR:BR)</f>
        <v>43457.324906923706</v>
      </c>
      <c r="BS107" s="953">
        <f>SUMIF($BV:$BV,"Total",BS:BS)</f>
        <v>56521.226247552913</v>
      </c>
      <c r="BT107" s="346"/>
      <c r="BU107" s="346"/>
      <c r="BV107" s="954"/>
      <c r="BW107" s="345"/>
      <c r="BX107" s="954"/>
      <c r="BY107" s="346"/>
    </row>
    <row r="108" spans="1:77" ht="15" x14ac:dyDescent="0.15">
      <c r="A108" s="605"/>
      <c r="B108" s="791"/>
      <c r="C108" s="791"/>
      <c r="D108" s="791"/>
      <c r="E108" s="791"/>
      <c r="F108" s="792"/>
      <c r="G108" s="792"/>
      <c r="H108" s="793"/>
      <c r="I108" s="794"/>
      <c r="J108" s="795"/>
      <c r="K108" s="796"/>
      <c r="L108" s="796"/>
      <c r="M108" s="797"/>
      <c r="N108" s="798"/>
      <c r="O108" s="796"/>
      <c r="P108" s="799"/>
      <c r="Q108" s="800"/>
      <c r="R108" s="800"/>
      <c r="S108" s="800"/>
      <c r="T108" s="801"/>
      <c r="U108" s="799"/>
      <c r="V108" s="791"/>
      <c r="W108" s="791"/>
      <c r="X108" s="802"/>
      <c r="Y108" s="799"/>
      <c r="Z108" s="800"/>
      <c r="AA108" s="803"/>
      <c r="AB108" s="631"/>
      <c r="AC108" s="804"/>
      <c r="AD108" s="804"/>
      <c r="AE108" s="804"/>
      <c r="AF108" s="804"/>
      <c r="AG108" s="804"/>
      <c r="AH108" s="804"/>
      <c r="AI108" s="804"/>
      <c r="AJ108" s="804"/>
      <c r="AK108" s="804"/>
      <c r="AL108" s="804"/>
      <c r="AM108" s="804"/>
      <c r="AN108" s="804"/>
      <c r="AO108" s="804"/>
      <c r="AP108" s="804"/>
      <c r="AQ108" s="804"/>
      <c r="AR108" s="804"/>
      <c r="AS108" s="804"/>
      <c r="AT108" s="804"/>
      <c r="AU108" s="804"/>
      <c r="AV108" s="804"/>
      <c r="AW108" s="804"/>
      <c r="AX108" s="804"/>
      <c r="AY108" s="804"/>
      <c r="AZ108" s="804"/>
      <c r="BA108" s="804"/>
      <c r="BB108" s="804"/>
      <c r="BC108" s="804"/>
      <c r="BD108" s="804"/>
      <c r="BE108" s="804"/>
      <c r="BF108" s="804"/>
      <c r="BG108" s="804"/>
      <c r="BH108" s="804"/>
      <c r="BI108" s="804"/>
      <c r="BJ108" s="804"/>
      <c r="BK108" s="804"/>
      <c r="BL108" s="804"/>
      <c r="BM108" s="804"/>
      <c r="BN108" s="804"/>
      <c r="BO108" s="804"/>
      <c r="BP108" s="804"/>
      <c r="BQ108" s="804"/>
      <c r="BR108" s="804"/>
      <c r="BS108" s="804"/>
      <c r="BT108" s="302"/>
      <c r="BU108" s="605"/>
      <c r="BV108" s="620"/>
      <c r="BW108" s="605"/>
      <c r="BX108" s="620"/>
      <c r="BY108" s="605"/>
    </row>
    <row r="109" spans="1:77" ht="15" x14ac:dyDescent="0.15">
      <c r="A109" s="605"/>
      <c r="B109" s="291"/>
      <c r="C109" s="291"/>
      <c r="D109" s="291"/>
      <c r="E109" s="291"/>
      <c r="F109" s="379"/>
      <c r="G109" s="379"/>
      <c r="H109" s="621"/>
      <c r="I109" s="620"/>
      <c r="J109" s="622"/>
      <c r="K109" s="624"/>
      <c r="L109" s="624"/>
      <c r="M109" s="625"/>
      <c r="N109" s="626"/>
      <c r="O109" s="624"/>
      <c r="P109" s="627"/>
      <c r="Q109" s="302"/>
      <c r="R109" s="302"/>
      <c r="S109" s="302"/>
      <c r="T109" s="628"/>
      <c r="U109" s="627"/>
      <c r="V109" s="291"/>
      <c r="W109" s="291"/>
      <c r="X109" s="629"/>
      <c r="Y109" s="627"/>
      <c r="Z109" s="302"/>
      <c r="AA109" s="631"/>
      <c r="AB109" s="631"/>
      <c r="AC109" s="632"/>
      <c r="AD109" s="632"/>
      <c r="AE109" s="632"/>
      <c r="AF109" s="632"/>
      <c r="AG109" s="632"/>
      <c r="AH109" s="632"/>
      <c r="AI109" s="632"/>
      <c r="AJ109" s="632"/>
      <c r="AK109" s="632"/>
      <c r="AL109" s="632"/>
      <c r="AM109" s="632"/>
      <c r="AN109" s="632"/>
      <c r="AO109" s="632"/>
      <c r="AP109" s="632"/>
      <c r="AQ109" s="632"/>
      <c r="AR109" s="632"/>
      <c r="AS109" s="632"/>
      <c r="AT109" s="632"/>
      <c r="AU109" s="632"/>
      <c r="AV109" s="632"/>
      <c r="AW109" s="632"/>
      <c r="AX109" s="632"/>
      <c r="AY109" s="632"/>
      <c r="AZ109" s="632"/>
      <c r="BA109" s="632"/>
      <c r="BB109" s="632"/>
      <c r="BC109" s="632"/>
      <c r="BD109" s="632"/>
      <c r="BE109" s="632"/>
      <c r="BF109" s="632"/>
      <c r="BG109" s="632"/>
      <c r="BH109" s="632"/>
      <c r="BI109" s="632"/>
      <c r="BJ109" s="632"/>
      <c r="BK109" s="632"/>
      <c r="BL109" s="632"/>
      <c r="BM109" s="632"/>
      <c r="BN109" s="632"/>
      <c r="BO109" s="632"/>
      <c r="BP109" s="632"/>
      <c r="BQ109" s="632"/>
      <c r="BR109" s="632"/>
      <c r="BS109" s="632"/>
      <c r="BT109" s="302"/>
      <c r="BU109" s="605"/>
      <c r="BV109" s="620"/>
      <c r="BW109" s="605"/>
      <c r="BX109" s="620"/>
      <c r="BY109" s="605"/>
    </row>
    <row r="110" spans="1:77" ht="3.75" customHeight="1" x14ac:dyDescent="0.15">
      <c r="A110" s="605"/>
      <c r="B110" s="291"/>
      <c r="C110" s="291"/>
      <c r="D110" s="291"/>
      <c r="E110" s="291"/>
      <c r="F110" s="379"/>
      <c r="G110" s="379"/>
      <c r="H110" s="621"/>
      <c r="I110" s="620"/>
      <c r="J110" s="622"/>
      <c r="K110" s="624"/>
      <c r="L110" s="624"/>
      <c r="M110" s="625"/>
      <c r="N110" s="626"/>
      <c r="O110" s="624"/>
      <c r="P110" s="627"/>
      <c r="Q110" s="302"/>
      <c r="R110" s="302"/>
      <c r="S110" s="302"/>
      <c r="T110" s="628"/>
      <c r="U110" s="627"/>
      <c r="V110" s="291"/>
      <c r="W110" s="291"/>
      <c r="X110" s="629"/>
      <c r="Y110" s="627"/>
      <c r="Z110" s="302"/>
      <c r="AA110" s="631"/>
      <c r="AB110" s="631"/>
      <c r="AC110" s="632"/>
      <c r="AD110" s="632"/>
      <c r="AE110" s="632"/>
      <c r="AF110" s="632"/>
      <c r="AG110" s="632"/>
      <c r="AH110" s="632"/>
      <c r="AI110" s="632"/>
      <c r="AJ110" s="632"/>
      <c r="AK110" s="632"/>
      <c r="AL110" s="632"/>
      <c r="AM110" s="632"/>
      <c r="AN110" s="632"/>
      <c r="AO110" s="632"/>
      <c r="AP110" s="632"/>
      <c r="AQ110" s="632"/>
      <c r="AR110" s="632"/>
      <c r="AS110" s="632"/>
      <c r="AT110" s="632"/>
      <c r="AU110" s="632"/>
      <c r="AV110" s="632"/>
      <c r="AW110" s="632"/>
      <c r="AX110" s="632"/>
      <c r="AY110" s="632"/>
      <c r="AZ110" s="632"/>
      <c r="BA110" s="632"/>
      <c r="BB110" s="632"/>
      <c r="BC110" s="632"/>
      <c r="BD110" s="632"/>
      <c r="BE110" s="632"/>
      <c r="BF110" s="632"/>
      <c r="BG110" s="632"/>
      <c r="BH110" s="632"/>
      <c r="BI110" s="632"/>
      <c r="BJ110" s="632"/>
      <c r="BK110" s="632"/>
      <c r="BL110" s="632"/>
      <c r="BM110" s="632"/>
      <c r="BN110" s="632"/>
      <c r="BO110" s="632"/>
      <c r="BP110" s="632"/>
      <c r="BQ110" s="632"/>
      <c r="BR110" s="632"/>
      <c r="BS110" s="632"/>
      <c r="BT110" s="302"/>
      <c r="BU110" s="605"/>
      <c r="BV110" s="620"/>
      <c r="BW110" s="605"/>
      <c r="BX110" s="620"/>
      <c r="BY110" s="605"/>
    </row>
    <row r="111" spans="1:77" ht="3.75" customHeight="1" x14ac:dyDescent="0.15">
      <c r="A111" s="605"/>
      <c r="B111" s="291"/>
      <c r="C111" s="291"/>
      <c r="D111" s="291"/>
      <c r="E111" s="291"/>
      <c r="F111" s="379"/>
      <c r="G111" s="379"/>
      <c r="H111" s="621"/>
      <c r="I111" s="620"/>
      <c r="J111" s="622"/>
      <c r="K111" s="624"/>
      <c r="L111" s="624"/>
      <c r="M111" s="625"/>
      <c r="N111" s="626"/>
      <c r="O111" s="624"/>
      <c r="P111" s="627"/>
      <c r="Q111" s="302"/>
      <c r="R111" s="302"/>
      <c r="S111" s="302"/>
      <c r="T111" s="628"/>
      <c r="U111" s="627"/>
      <c r="V111" s="291"/>
      <c r="W111" s="291"/>
      <c r="X111" s="629"/>
      <c r="Y111" s="627"/>
      <c r="Z111" s="302"/>
      <c r="AA111" s="631"/>
      <c r="AB111" s="631"/>
      <c r="AC111" s="632"/>
      <c r="AD111" s="632"/>
      <c r="AE111" s="632"/>
      <c r="AF111" s="632"/>
      <c r="AG111" s="632"/>
      <c r="AH111" s="632"/>
      <c r="AI111" s="632"/>
      <c r="AJ111" s="632"/>
      <c r="AK111" s="632"/>
      <c r="AL111" s="632"/>
      <c r="AM111" s="632"/>
      <c r="AN111" s="632"/>
      <c r="AO111" s="632"/>
      <c r="AP111" s="632"/>
      <c r="AQ111" s="632"/>
      <c r="AR111" s="632"/>
      <c r="AS111" s="632"/>
      <c r="AT111" s="632"/>
      <c r="AU111" s="632"/>
      <c r="AV111" s="632"/>
      <c r="AW111" s="632"/>
      <c r="AX111" s="632"/>
      <c r="AY111" s="632"/>
      <c r="AZ111" s="632"/>
      <c r="BA111" s="632"/>
      <c r="BB111" s="632"/>
      <c r="BC111" s="632"/>
      <c r="BD111" s="632"/>
      <c r="BE111" s="632"/>
      <c r="BF111" s="632"/>
      <c r="BG111" s="632"/>
      <c r="BH111" s="632"/>
      <c r="BI111" s="632"/>
      <c r="BJ111" s="632"/>
      <c r="BK111" s="632"/>
      <c r="BL111" s="632"/>
      <c r="BM111" s="632"/>
      <c r="BN111" s="632"/>
      <c r="BO111" s="632"/>
      <c r="BP111" s="632"/>
      <c r="BQ111" s="632"/>
      <c r="BR111" s="632"/>
      <c r="BS111" s="632"/>
      <c r="BT111" s="302"/>
      <c r="BU111" s="605"/>
      <c r="BV111" s="620"/>
      <c r="BW111" s="605"/>
      <c r="BX111" s="620"/>
      <c r="BY111" s="605"/>
    </row>
    <row r="112" spans="1:77" ht="3.75" customHeight="1" x14ac:dyDescent="0.15">
      <c r="A112" s="605"/>
      <c r="B112" s="291"/>
      <c r="C112" s="291"/>
      <c r="D112" s="291"/>
      <c r="E112" s="291"/>
      <c r="F112" s="379"/>
      <c r="G112" s="379"/>
      <c r="H112" s="621"/>
      <c r="I112" s="620"/>
      <c r="J112" s="622"/>
      <c r="K112" s="624"/>
      <c r="L112" s="624"/>
      <c r="M112" s="625"/>
      <c r="N112" s="626"/>
      <c r="O112" s="624"/>
      <c r="P112" s="627"/>
      <c r="Q112" s="302"/>
      <c r="R112" s="302"/>
      <c r="S112" s="302"/>
      <c r="T112" s="628"/>
      <c r="U112" s="627"/>
      <c r="V112" s="291"/>
      <c r="W112" s="291"/>
      <c r="X112" s="629"/>
      <c r="Y112" s="627"/>
      <c r="Z112" s="302"/>
      <c r="AA112" s="631"/>
      <c r="AB112" s="631"/>
      <c r="AC112" s="632"/>
      <c r="AD112" s="632"/>
      <c r="AE112" s="632"/>
      <c r="AF112" s="632"/>
      <c r="AG112" s="632"/>
      <c r="AH112" s="632"/>
      <c r="AI112" s="632"/>
      <c r="AJ112" s="632"/>
      <c r="AK112" s="632"/>
      <c r="AL112" s="632"/>
      <c r="AM112" s="632"/>
      <c r="AN112" s="632"/>
      <c r="AO112" s="632"/>
      <c r="AP112" s="632"/>
      <c r="AQ112" s="632"/>
      <c r="AR112" s="632"/>
      <c r="AS112" s="632"/>
      <c r="AT112" s="632"/>
      <c r="AU112" s="632"/>
      <c r="AV112" s="632"/>
      <c r="AW112" s="632"/>
      <c r="AX112" s="632"/>
      <c r="AY112" s="632"/>
      <c r="AZ112" s="632"/>
      <c r="BA112" s="632"/>
      <c r="BB112" s="632"/>
      <c r="BC112" s="632"/>
      <c r="BD112" s="632"/>
      <c r="BE112" s="632"/>
      <c r="BF112" s="632"/>
      <c r="BG112" s="632"/>
      <c r="BH112" s="632"/>
      <c r="BI112" s="632"/>
      <c r="BJ112" s="632"/>
      <c r="BK112" s="632"/>
      <c r="BL112" s="632"/>
      <c r="BM112" s="632"/>
      <c r="BN112" s="632"/>
      <c r="BO112" s="632"/>
      <c r="BP112" s="632"/>
      <c r="BQ112" s="632"/>
      <c r="BR112" s="632"/>
      <c r="BS112" s="632"/>
      <c r="BT112" s="302"/>
      <c r="BU112" s="605"/>
      <c r="BV112" s="620"/>
      <c r="BW112" s="605"/>
      <c r="BX112" s="620"/>
      <c r="BY112" s="605"/>
    </row>
    <row r="113" spans="1:77" ht="15" outlineLevel="1" x14ac:dyDescent="0.15">
      <c r="A113" s="291"/>
      <c r="B113" s="1084" t="s">
        <v>182</v>
      </c>
      <c r="C113" s="1049"/>
      <c r="D113" s="365"/>
      <c r="E113" s="365"/>
      <c r="F113" s="366"/>
      <c r="G113" s="367"/>
      <c r="H113" s="368"/>
      <c r="I113" s="365"/>
      <c r="J113" s="369"/>
      <c r="K113" s="371"/>
      <c r="L113" s="371"/>
      <c r="M113" s="365"/>
      <c r="N113" s="370"/>
      <c r="O113" s="371"/>
      <c r="P113" s="372"/>
      <c r="Q113" s="373"/>
      <c r="R113" s="365"/>
      <c r="S113" s="365"/>
      <c r="T113" s="374"/>
      <c r="U113" s="372"/>
      <c r="V113" s="365"/>
      <c r="W113" s="365"/>
      <c r="X113" s="375"/>
      <c r="Y113" s="372"/>
      <c r="Z113" s="376"/>
      <c r="AA113" s="377"/>
      <c r="AB113" s="376"/>
      <c r="AC113" s="378"/>
      <c r="AD113" s="378"/>
      <c r="AE113" s="378"/>
      <c r="AF113" s="378"/>
      <c r="AG113" s="378"/>
      <c r="AH113" s="378"/>
      <c r="AI113" s="378"/>
      <c r="AJ113" s="378"/>
      <c r="AK113" s="378"/>
      <c r="AL113" s="378"/>
      <c r="AM113" s="378"/>
      <c r="AN113" s="378"/>
      <c r="AO113" s="378"/>
      <c r="AP113" s="378"/>
      <c r="AQ113" s="378"/>
      <c r="AR113" s="378"/>
      <c r="AS113" s="378"/>
      <c r="AT113" s="378"/>
      <c r="AU113" s="378"/>
      <c r="AV113" s="378"/>
      <c r="AW113" s="378"/>
      <c r="AX113" s="378"/>
      <c r="AY113" s="378"/>
      <c r="AZ113" s="378"/>
      <c r="BA113" s="378"/>
      <c r="BB113" s="378"/>
      <c r="BC113" s="378"/>
      <c r="BD113" s="378"/>
      <c r="BE113" s="378"/>
      <c r="BF113" s="378"/>
      <c r="BG113" s="378"/>
      <c r="BH113" s="378"/>
      <c r="BI113" s="378"/>
      <c r="BJ113" s="378"/>
      <c r="BK113" s="378"/>
      <c r="BL113" s="378"/>
      <c r="BM113" s="378"/>
      <c r="BN113" s="378"/>
      <c r="BO113" s="378"/>
      <c r="BP113" s="378"/>
      <c r="BQ113" s="378"/>
      <c r="BR113" s="378"/>
      <c r="BS113" s="378"/>
      <c r="BT113" s="376"/>
      <c r="BU113" s="365"/>
      <c r="BV113" s="373"/>
      <c r="BW113" s="365"/>
      <c r="BX113" s="373"/>
      <c r="BY113" s="365"/>
    </row>
    <row r="114" spans="1:77" ht="32" outlineLevel="1" x14ac:dyDescent="0.15">
      <c r="A114" s="605"/>
      <c r="B114" s="1085" t="s">
        <v>154</v>
      </c>
      <c r="C114" s="805" t="s">
        <v>189</v>
      </c>
      <c r="D114" s="806"/>
      <c r="E114" s="807" t="s">
        <v>117</v>
      </c>
      <c r="F114" s="1032"/>
      <c r="G114" s="1032"/>
      <c r="H114" s="727"/>
      <c r="I114" s="807" t="s">
        <v>117</v>
      </c>
      <c r="J114" s="808" t="s">
        <v>117</v>
      </c>
      <c r="K114" s="809" t="s">
        <v>117</v>
      </c>
      <c r="L114" s="810"/>
      <c r="M114" s="811" t="s">
        <v>117</v>
      </c>
      <c r="N114" s="812" t="s">
        <v>117</v>
      </c>
      <c r="O114" s="813" t="s">
        <v>117</v>
      </c>
      <c r="P114" s="814">
        <f t="shared" ref="P114:P117" si="64">IFERROR(L114+O114,L114)</f>
        <v>0</v>
      </c>
      <c r="Q114" s="815" t="s">
        <v>117</v>
      </c>
      <c r="R114" s="808" t="s">
        <v>117</v>
      </c>
      <c r="S114" s="808" t="s">
        <v>117</v>
      </c>
      <c r="T114" s="816" t="s">
        <v>117</v>
      </c>
      <c r="U114" s="817" t="s">
        <v>117</v>
      </c>
      <c r="V114" s="818" t="s">
        <v>117</v>
      </c>
      <c r="W114" s="819" t="s">
        <v>117</v>
      </c>
      <c r="X114" s="820" t="s">
        <v>117</v>
      </c>
      <c r="Y114" s="821" t="s">
        <v>117</v>
      </c>
      <c r="Z114" s="302"/>
      <c r="AA114" s="669">
        <f>NPV($C$136,AF114:BS114)+AE114</f>
        <v>0</v>
      </c>
      <c r="AB114" s="670"/>
      <c r="AC114" s="822" t="str">
        <f t="shared" ref="AC114:BS114" si="65">IF(AC$4=0,$P114,IF(AC$4&lt;4,$U114,IF(AC$4&gt;3,$Y114)))</f>
        <v>-</v>
      </c>
      <c r="AD114" s="823" t="str">
        <f t="shared" si="65"/>
        <v>-</v>
      </c>
      <c r="AE114" s="823">
        <f t="shared" si="65"/>
        <v>0</v>
      </c>
      <c r="AF114" s="149" t="str">
        <f t="shared" si="65"/>
        <v>-</v>
      </c>
      <c r="AG114" s="149" t="str">
        <f t="shared" si="65"/>
        <v>-</v>
      </c>
      <c r="AH114" s="149" t="str">
        <f t="shared" si="65"/>
        <v>-</v>
      </c>
      <c r="AI114" s="149" t="str">
        <f t="shared" si="65"/>
        <v>-</v>
      </c>
      <c r="AJ114" s="149" t="str">
        <f t="shared" si="65"/>
        <v>-</v>
      </c>
      <c r="AK114" s="149" t="str">
        <f t="shared" si="65"/>
        <v>-</v>
      </c>
      <c r="AL114" s="149" t="str">
        <f t="shared" si="65"/>
        <v>-</v>
      </c>
      <c r="AM114" s="149" t="str">
        <f t="shared" si="65"/>
        <v>-</v>
      </c>
      <c r="AN114" s="149" t="str">
        <f t="shared" si="65"/>
        <v>-</v>
      </c>
      <c r="AO114" s="149" t="str">
        <f t="shared" si="65"/>
        <v>-</v>
      </c>
      <c r="AP114" s="149" t="str">
        <f t="shared" si="65"/>
        <v>-</v>
      </c>
      <c r="AQ114" s="149" t="str">
        <f t="shared" si="65"/>
        <v>-</v>
      </c>
      <c r="AR114" s="149" t="str">
        <f t="shared" si="65"/>
        <v>-</v>
      </c>
      <c r="AS114" s="149" t="str">
        <f t="shared" si="65"/>
        <v>-</v>
      </c>
      <c r="AT114" s="149" t="str">
        <f t="shared" si="65"/>
        <v>-</v>
      </c>
      <c r="AU114" s="149" t="str">
        <f t="shared" si="65"/>
        <v>-</v>
      </c>
      <c r="AV114" s="149" t="str">
        <f t="shared" si="65"/>
        <v>-</v>
      </c>
      <c r="AW114" s="149" t="str">
        <f t="shared" si="65"/>
        <v>-</v>
      </c>
      <c r="AX114" s="149" t="str">
        <f t="shared" si="65"/>
        <v>-</v>
      </c>
      <c r="AY114" s="149" t="str">
        <f t="shared" si="65"/>
        <v>-</v>
      </c>
      <c r="AZ114" s="149" t="str">
        <f t="shared" si="65"/>
        <v>-</v>
      </c>
      <c r="BA114" s="149" t="str">
        <f t="shared" si="65"/>
        <v>-</v>
      </c>
      <c r="BB114" s="149" t="str">
        <f t="shared" si="65"/>
        <v>-</v>
      </c>
      <c r="BC114" s="149" t="str">
        <f t="shared" si="65"/>
        <v>-</v>
      </c>
      <c r="BD114" s="149" t="str">
        <f t="shared" si="65"/>
        <v>-</v>
      </c>
      <c r="BE114" s="149" t="str">
        <f t="shared" si="65"/>
        <v>-</v>
      </c>
      <c r="BF114" s="149" t="str">
        <f t="shared" si="65"/>
        <v>-</v>
      </c>
      <c r="BG114" s="149" t="str">
        <f t="shared" si="65"/>
        <v>-</v>
      </c>
      <c r="BH114" s="149" t="str">
        <f t="shared" si="65"/>
        <v>-</v>
      </c>
      <c r="BI114" s="149" t="str">
        <f t="shared" si="65"/>
        <v>-</v>
      </c>
      <c r="BJ114" s="149" t="str">
        <f t="shared" si="65"/>
        <v>-</v>
      </c>
      <c r="BK114" s="149" t="str">
        <f t="shared" si="65"/>
        <v>-</v>
      </c>
      <c r="BL114" s="149" t="str">
        <f t="shared" si="65"/>
        <v>-</v>
      </c>
      <c r="BM114" s="149" t="str">
        <f t="shared" si="65"/>
        <v>-</v>
      </c>
      <c r="BN114" s="149" t="str">
        <f t="shared" si="65"/>
        <v>-</v>
      </c>
      <c r="BO114" s="149" t="str">
        <f t="shared" si="65"/>
        <v>-</v>
      </c>
      <c r="BP114" s="149" t="str">
        <f t="shared" si="65"/>
        <v>-</v>
      </c>
      <c r="BQ114" s="149" t="str">
        <f t="shared" si="65"/>
        <v>-</v>
      </c>
      <c r="BR114" s="149" t="str">
        <f t="shared" si="65"/>
        <v>-</v>
      </c>
      <c r="BS114" s="149" t="str">
        <f t="shared" si="65"/>
        <v>-</v>
      </c>
      <c r="BT114" s="302"/>
      <c r="BU114" s="605"/>
      <c r="BV114" s="824" t="str">
        <f t="shared" ref="BV114:BV117" si="66">$B$113</f>
        <v>Grants/Reductions</v>
      </c>
      <c r="BW114" s="605"/>
      <c r="BX114" s="620"/>
      <c r="BY114" s="605"/>
    </row>
    <row r="115" spans="1:77" ht="32" outlineLevel="1" x14ac:dyDescent="0.15">
      <c r="A115" s="605"/>
      <c r="B115" s="1086"/>
      <c r="C115" s="838"/>
      <c r="D115" s="839"/>
      <c r="E115" s="840" t="s">
        <v>117</v>
      </c>
      <c r="F115" s="1033"/>
      <c r="G115" s="1033"/>
      <c r="H115" s="1034"/>
      <c r="I115" s="840" t="s">
        <v>117</v>
      </c>
      <c r="J115" s="841" t="s">
        <v>117</v>
      </c>
      <c r="K115" s="842" t="s">
        <v>117</v>
      </c>
      <c r="L115" s="843"/>
      <c r="M115" s="844" t="s">
        <v>117</v>
      </c>
      <c r="N115" s="845" t="s">
        <v>117</v>
      </c>
      <c r="O115" s="846" t="s">
        <v>117</v>
      </c>
      <c r="P115" s="847">
        <f t="shared" si="64"/>
        <v>0</v>
      </c>
      <c r="Q115" s="848" t="s">
        <v>117</v>
      </c>
      <c r="R115" s="841" t="s">
        <v>117</v>
      </c>
      <c r="S115" s="841" t="s">
        <v>117</v>
      </c>
      <c r="T115" s="849" t="s">
        <v>117</v>
      </c>
      <c r="U115" s="850" t="s">
        <v>117</v>
      </c>
      <c r="V115" s="851" t="s">
        <v>117</v>
      </c>
      <c r="W115" s="852" t="s">
        <v>117</v>
      </c>
      <c r="X115" s="853" t="s">
        <v>117</v>
      </c>
      <c r="Y115" s="854" t="s">
        <v>117</v>
      </c>
      <c r="Z115" s="302"/>
      <c r="AA115" s="669">
        <f>NPV($C$136,AF115:BS115)+AE115</f>
        <v>0</v>
      </c>
      <c r="AB115" s="670"/>
      <c r="AC115" s="822" t="str">
        <f t="shared" ref="AC115:BS115" si="67">IF(AC$4=0,$P115,IF(AC$4&lt;4,$U115,IF(AC$4&gt;3,$Y115)))</f>
        <v>-</v>
      </c>
      <c r="AD115" s="823" t="str">
        <f t="shared" si="67"/>
        <v>-</v>
      </c>
      <c r="AE115" s="823">
        <f t="shared" si="67"/>
        <v>0</v>
      </c>
      <c r="AF115" s="149" t="str">
        <f t="shared" si="67"/>
        <v>-</v>
      </c>
      <c r="AG115" s="149" t="str">
        <f t="shared" si="67"/>
        <v>-</v>
      </c>
      <c r="AH115" s="149" t="str">
        <f t="shared" si="67"/>
        <v>-</v>
      </c>
      <c r="AI115" s="149" t="str">
        <f t="shared" si="67"/>
        <v>-</v>
      </c>
      <c r="AJ115" s="149" t="str">
        <f t="shared" si="67"/>
        <v>-</v>
      </c>
      <c r="AK115" s="149" t="str">
        <f t="shared" si="67"/>
        <v>-</v>
      </c>
      <c r="AL115" s="149" t="str">
        <f t="shared" si="67"/>
        <v>-</v>
      </c>
      <c r="AM115" s="149" t="str">
        <f t="shared" si="67"/>
        <v>-</v>
      </c>
      <c r="AN115" s="149" t="str">
        <f t="shared" si="67"/>
        <v>-</v>
      </c>
      <c r="AO115" s="149" t="str">
        <f t="shared" si="67"/>
        <v>-</v>
      </c>
      <c r="AP115" s="149" t="str">
        <f t="shared" si="67"/>
        <v>-</v>
      </c>
      <c r="AQ115" s="149" t="str">
        <f t="shared" si="67"/>
        <v>-</v>
      </c>
      <c r="AR115" s="149" t="str">
        <f t="shared" si="67"/>
        <v>-</v>
      </c>
      <c r="AS115" s="149" t="str">
        <f t="shared" si="67"/>
        <v>-</v>
      </c>
      <c r="AT115" s="149" t="str">
        <f t="shared" si="67"/>
        <v>-</v>
      </c>
      <c r="AU115" s="149" t="str">
        <f t="shared" si="67"/>
        <v>-</v>
      </c>
      <c r="AV115" s="149" t="str">
        <f t="shared" si="67"/>
        <v>-</v>
      </c>
      <c r="AW115" s="149" t="str">
        <f t="shared" si="67"/>
        <v>-</v>
      </c>
      <c r="AX115" s="149" t="str">
        <f t="shared" si="67"/>
        <v>-</v>
      </c>
      <c r="AY115" s="149" t="str">
        <f t="shared" si="67"/>
        <v>-</v>
      </c>
      <c r="AZ115" s="149" t="str">
        <f t="shared" si="67"/>
        <v>-</v>
      </c>
      <c r="BA115" s="149" t="str">
        <f t="shared" si="67"/>
        <v>-</v>
      </c>
      <c r="BB115" s="149" t="str">
        <f t="shared" si="67"/>
        <v>-</v>
      </c>
      <c r="BC115" s="149" t="str">
        <f t="shared" si="67"/>
        <v>-</v>
      </c>
      <c r="BD115" s="149" t="str">
        <f t="shared" si="67"/>
        <v>-</v>
      </c>
      <c r="BE115" s="149" t="str">
        <f t="shared" si="67"/>
        <v>-</v>
      </c>
      <c r="BF115" s="149" t="str">
        <f t="shared" si="67"/>
        <v>-</v>
      </c>
      <c r="BG115" s="149" t="str">
        <f t="shared" si="67"/>
        <v>-</v>
      </c>
      <c r="BH115" s="149" t="str">
        <f t="shared" si="67"/>
        <v>-</v>
      </c>
      <c r="BI115" s="149" t="str">
        <f t="shared" si="67"/>
        <v>-</v>
      </c>
      <c r="BJ115" s="149" t="str">
        <f t="shared" si="67"/>
        <v>-</v>
      </c>
      <c r="BK115" s="149" t="str">
        <f t="shared" si="67"/>
        <v>-</v>
      </c>
      <c r="BL115" s="149" t="str">
        <f t="shared" si="67"/>
        <v>-</v>
      </c>
      <c r="BM115" s="149" t="str">
        <f t="shared" si="67"/>
        <v>-</v>
      </c>
      <c r="BN115" s="149" t="str">
        <f t="shared" si="67"/>
        <v>-</v>
      </c>
      <c r="BO115" s="149" t="str">
        <f t="shared" si="67"/>
        <v>-</v>
      </c>
      <c r="BP115" s="149" t="str">
        <f t="shared" si="67"/>
        <v>-</v>
      </c>
      <c r="BQ115" s="149" t="str">
        <f t="shared" si="67"/>
        <v>-</v>
      </c>
      <c r="BR115" s="149" t="str">
        <f t="shared" si="67"/>
        <v>-</v>
      </c>
      <c r="BS115" s="149" t="str">
        <f t="shared" si="67"/>
        <v>-</v>
      </c>
      <c r="BT115" s="302"/>
      <c r="BU115" s="605"/>
      <c r="BV115" s="824" t="str">
        <f t="shared" si="66"/>
        <v>Grants/Reductions</v>
      </c>
      <c r="BW115" s="605"/>
      <c r="BX115" s="620"/>
      <c r="BY115" s="605"/>
    </row>
    <row r="116" spans="1:77" ht="32" outlineLevel="1" x14ac:dyDescent="0.15">
      <c r="A116" s="605"/>
      <c r="B116" s="1087" t="s">
        <v>155</v>
      </c>
      <c r="C116" s="855" t="s">
        <v>188</v>
      </c>
      <c r="D116" s="856"/>
      <c r="E116" s="857" t="s">
        <v>117</v>
      </c>
      <c r="F116" s="465"/>
      <c r="G116" s="465"/>
      <c r="H116" s="1035"/>
      <c r="I116" s="857" t="s">
        <v>117</v>
      </c>
      <c r="J116" s="858" t="s">
        <v>117</v>
      </c>
      <c r="K116" s="859" t="s">
        <v>117</v>
      </c>
      <c r="L116" s="826">
        <v>-25000</v>
      </c>
      <c r="M116" s="827" t="s">
        <v>117</v>
      </c>
      <c r="N116" s="828" t="s">
        <v>117</v>
      </c>
      <c r="O116" s="829" t="s">
        <v>117</v>
      </c>
      <c r="P116" s="830">
        <f t="shared" si="64"/>
        <v>-25000</v>
      </c>
      <c r="Q116" s="831" t="s">
        <v>117</v>
      </c>
      <c r="R116" s="825" t="s">
        <v>117</v>
      </c>
      <c r="S116" s="825" t="s">
        <v>117</v>
      </c>
      <c r="T116" s="832" t="s">
        <v>117</v>
      </c>
      <c r="U116" s="833" t="s">
        <v>117</v>
      </c>
      <c r="V116" s="834" t="s">
        <v>117</v>
      </c>
      <c r="W116" s="835" t="s">
        <v>117</v>
      </c>
      <c r="X116" s="836" t="s">
        <v>117</v>
      </c>
      <c r="Y116" s="837" t="s">
        <v>117</v>
      </c>
      <c r="Z116" s="302"/>
      <c r="AA116" s="669">
        <f>NPV($C$136,AF116:BS116)+AE116</f>
        <v>-25000</v>
      </c>
      <c r="AB116" s="670"/>
      <c r="AC116" s="822" t="str">
        <f t="shared" ref="AC116:BS116" si="68">IF(AC$4=0,$P116,IF(AC$4&lt;4,$U116,IF(AC$4&gt;3,$Y116)))</f>
        <v>-</v>
      </c>
      <c r="AD116" s="823" t="str">
        <f t="shared" si="68"/>
        <v>-</v>
      </c>
      <c r="AE116" s="823">
        <f t="shared" si="68"/>
        <v>-25000</v>
      </c>
      <c r="AF116" s="149" t="str">
        <f t="shared" si="68"/>
        <v>-</v>
      </c>
      <c r="AG116" s="149" t="str">
        <f t="shared" si="68"/>
        <v>-</v>
      </c>
      <c r="AH116" s="149" t="str">
        <f t="shared" si="68"/>
        <v>-</v>
      </c>
      <c r="AI116" s="149" t="str">
        <f t="shared" si="68"/>
        <v>-</v>
      </c>
      <c r="AJ116" s="149" t="str">
        <f t="shared" si="68"/>
        <v>-</v>
      </c>
      <c r="AK116" s="149" t="str">
        <f t="shared" si="68"/>
        <v>-</v>
      </c>
      <c r="AL116" s="149" t="str">
        <f t="shared" si="68"/>
        <v>-</v>
      </c>
      <c r="AM116" s="149" t="str">
        <f t="shared" si="68"/>
        <v>-</v>
      </c>
      <c r="AN116" s="149" t="str">
        <f t="shared" si="68"/>
        <v>-</v>
      </c>
      <c r="AO116" s="149" t="str">
        <f t="shared" si="68"/>
        <v>-</v>
      </c>
      <c r="AP116" s="149" t="str">
        <f t="shared" si="68"/>
        <v>-</v>
      </c>
      <c r="AQ116" s="149" t="str">
        <f t="shared" si="68"/>
        <v>-</v>
      </c>
      <c r="AR116" s="149" t="str">
        <f t="shared" si="68"/>
        <v>-</v>
      </c>
      <c r="AS116" s="149" t="str">
        <f t="shared" si="68"/>
        <v>-</v>
      </c>
      <c r="AT116" s="149" t="str">
        <f t="shared" si="68"/>
        <v>-</v>
      </c>
      <c r="AU116" s="149" t="str">
        <f t="shared" si="68"/>
        <v>-</v>
      </c>
      <c r="AV116" s="149" t="str">
        <f t="shared" si="68"/>
        <v>-</v>
      </c>
      <c r="AW116" s="149" t="str">
        <f t="shared" si="68"/>
        <v>-</v>
      </c>
      <c r="AX116" s="149" t="str">
        <f t="shared" si="68"/>
        <v>-</v>
      </c>
      <c r="AY116" s="149" t="str">
        <f t="shared" si="68"/>
        <v>-</v>
      </c>
      <c r="AZ116" s="149" t="str">
        <f t="shared" si="68"/>
        <v>-</v>
      </c>
      <c r="BA116" s="149" t="str">
        <f t="shared" si="68"/>
        <v>-</v>
      </c>
      <c r="BB116" s="149" t="str">
        <f t="shared" si="68"/>
        <v>-</v>
      </c>
      <c r="BC116" s="149" t="str">
        <f t="shared" si="68"/>
        <v>-</v>
      </c>
      <c r="BD116" s="149" t="str">
        <f t="shared" si="68"/>
        <v>-</v>
      </c>
      <c r="BE116" s="149" t="str">
        <f t="shared" si="68"/>
        <v>-</v>
      </c>
      <c r="BF116" s="149" t="str">
        <f t="shared" si="68"/>
        <v>-</v>
      </c>
      <c r="BG116" s="149" t="str">
        <f t="shared" si="68"/>
        <v>-</v>
      </c>
      <c r="BH116" s="149" t="str">
        <f t="shared" si="68"/>
        <v>-</v>
      </c>
      <c r="BI116" s="149" t="str">
        <f t="shared" si="68"/>
        <v>-</v>
      </c>
      <c r="BJ116" s="149" t="str">
        <f t="shared" si="68"/>
        <v>-</v>
      </c>
      <c r="BK116" s="149" t="str">
        <f t="shared" si="68"/>
        <v>-</v>
      </c>
      <c r="BL116" s="149" t="str">
        <f t="shared" si="68"/>
        <v>-</v>
      </c>
      <c r="BM116" s="149" t="str">
        <f t="shared" si="68"/>
        <v>-</v>
      </c>
      <c r="BN116" s="149" t="str">
        <f t="shared" si="68"/>
        <v>-</v>
      </c>
      <c r="BO116" s="149" t="str">
        <f t="shared" si="68"/>
        <v>-</v>
      </c>
      <c r="BP116" s="149" t="str">
        <f t="shared" si="68"/>
        <v>-</v>
      </c>
      <c r="BQ116" s="149" t="str">
        <f t="shared" si="68"/>
        <v>-</v>
      </c>
      <c r="BR116" s="149" t="str">
        <f t="shared" si="68"/>
        <v>-</v>
      </c>
      <c r="BS116" s="149" t="str">
        <f t="shared" si="68"/>
        <v>-</v>
      </c>
      <c r="BT116" s="302"/>
      <c r="BU116" s="605"/>
      <c r="BV116" s="824" t="str">
        <f t="shared" si="66"/>
        <v>Grants/Reductions</v>
      </c>
      <c r="BW116" s="605"/>
      <c r="BX116" s="620"/>
      <c r="BY116" s="605"/>
    </row>
    <row r="117" spans="1:77" ht="32" outlineLevel="1" x14ac:dyDescent="0.15">
      <c r="A117" s="605"/>
      <c r="B117" s="1088"/>
      <c r="C117" s="838"/>
      <c r="D117" s="860"/>
      <c r="E117" s="861" t="s">
        <v>117</v>
      </c>
      <c r="F117" s="1036"/>
      <c r="G117" s="1036"/>
      <c r="H117" s="1037"/>
      <c r="I117" s="861" t="s">
        <v>117</v>
      </c>
      <c r="J117" s="862" t="s">
        <v>117</v>
      </c>
      <c r="K117" s="863" t="s">
        <v>117</v>
      </c>
      <c r="L117" s="864"/>
      <c r="M117" s="865" t="s">
        <v>117</v>
      </c>
      <c r="N117" s="866" t="s">
        <v>117</v>
      </c>
      <c r="O117" s="867" t="s">
        <v>117</v>
      </c>
      <c r="P117" s="847">
        <f t="shared" si="64"/>
        <v>0</v>
      </c>
      <c r="Q117" s="868" t="s">
        <v>117</v>
      </c>
      <c r="R117" s="862" t="s">
        <v>117</v>
      </c>
      <c r="S117" s="862" t="s">
        <v>117</v>
      </c>
      <c r="T117" s="869" t="s">
        <v>117</v>
      </c>
      <c r="U117" s="870" t="s">
        <v>117</v>
      </c>
      <c r="V117" s="871" t="s">
        <v>117</v>
      </c>
      <c r="W117" s="872" t="s">
        <v>117</v>
      </c>
      <c r="X117" s="873" t="s">
        <v>117</v>
      </c>
      <c r="Y117" s="874" t="s">
        <v>117</v>
      </c>
      <c r="Z117" s="302"/>
      <c r="AA117" s="669">
        <f>NPV($C$136,AF117:BS117)+AE117</f>
        <v>0</v>
      </c>
      <c r="AB117" s="670"/>
      <c r="AC117" s="822" t="str">
        <f t="shared" ref="AC117:BS117" si="69">IF(AC$4=0,$P117,IF(AC$4&lt;4,$U117,IF(AC$4&gt;3,$Y117)))</f>
        <v>-</v>
      </c>
      <c r="AD117" s="823" t="str">
        <f t="shared" si="69"/>
        <v>-</v>
      </c>
      <c r="AE117" s="823">
        <f t="shared" si="69"/>
        <v>0</v>
      </c>
      <c r="AF117" s="149" t="str">
        <f t="shared" si="69"/>
        <v>-</v>
      </c>
      <c r="AG117" s="149" t="str">
        <f t="shared" si="69"/>
        <v>-</v>
      </c>
      <c r="AH117" s="149" t="str">
        <f t="shared" si="69"/>
        <v>-</v>
      </c>
      <c r="AI117" s="149" t="str">
        <f t="shared" si="69"/>
        <v>-</v>
      </c>
      <c r="AJ117" s="149" t="str">
        <f t="shared" si="69"/>
        <v>-</v>
      </c>
      <c r="AK117" s="149" t="str">
        <f t="shared" si="69"/>
        <v>-</v>
      </c>
      <c r="AL117" s="149" t="str">
        <f t="shared" si="69"/>
        <v>-</v>
      </c>
      <c r="AM117" s="149" t="str">
        <f t="shared" si="69"/>
        <v>-</v>
      </c>
      <c r="AN117" s="149" t="str">
        <f t="shared" si="69"/>
        <v>-</v>
      </c>
      <c r="AO117" s="149" t="str">
        <f t="shared" si="69"/>
        <v>-</v>
      </c>
      <c r="AP117" s="149" t="str">
        <f t="shared" si="69"/>
        <v>-</v>
      </c>
      <c r="AQ117" s="149" t="str">
        <f t="shared" si="69"/>
        <v>-</v>
      </c>
      <c r="AR117" s="149" t="str">
        <f t="shared" si="69"/>
        <v>-</v>
      </c>
      <c r="AS117" s="149" t="str">
        <f t="shared" si="69"/>
        <v>-</v>
      </c>
      <c r="AT117" s="149" t="str">
        <f t="shared" si="69"/>
        <v>-</v>
      </c>
      <c r="AU117" s="149" t="str">
        <f t="shared" si="69"/>
        <v>-</v>
      </c>
      <c r="AV117" s="149" t="str">
        <f t="shared" si="69"/>
        <v>-</v>
      </c>
      <c r="AW117" s="149" t="str">
        <f t="shared" si="69"/>
        <v>-</v>
      </c>
      <c r="AX117" s="149" t="str">
        <f t="shared" si="69"/>
        <v>-</v>
      </c>
      <c r="AY117" s="149" t="str">
        <f t="shared" si="69"/>
        <v>-</v>
      </c>
      <c r="AZ117" s="149" t="str">
        <f t="shared" si="69"/>
        <v>-</v>
      </c>
      <c r="BA117" s="149" t="str">
        <f t="shared" si="69"/>
        <v>-</v>
      </c>
      <c r="BB117" s="149" t="str">
        <f t="shared" si="69"/>
        <v>-</v>
      </c>
      <c r="BC117" s="149" t="str">
        <f t="shared" si="69"/>
        <v>-</v>
      </c>
      <c r="BD117" s="149" t="str">
        <f t="shared" si="69"/>
        <v>-</v>
      </c>
      <c r="BE117" s="149" t="str">
        <f t="shared" si="69"/>
        <v>-</v>
      </c>
      <c r="BF117" s="149" t="str">
        <f t="shared" si="69"/>
        <v>-</v>
      </c>
      <c r="BG117" s="149" t="str">
        <f t="shared" si="69"/>
        <v>-</v>
      </c>
      <c r="BH117" s="149" t="str">
        <f t="shared" si="69"/>
        <v>-</v>
      </c>
      <c r="BI117" s="149" t="str">
        <f t="shared" si="69"/>
        <v>-</v>
      </c>
      <c r="BJ117" s="149" t="str">
        <f t="shared" si="69"/>
        <v>-</v>
      </c>
      <c r="BK117" s="149" t="str">
        <f t="shared" si="69"/>
        <v>-</v>
      </c>
      <c r="BL117" s="149" t="str">
        <f t="shared" si="69"/>
        <v>-</v>
      </c>
      <c r="BM117" s="149" t="str">
        <f t="shared" si="69"/>
        <v>-</v>
      </c>
      <c r="BN117" s="149" t="str">
        <f t="shared" si="69"/>
        <v>-</v>
      </c>
      <c r="BO117" s="149" t="str">
        <f t="shared" si="69"/>
        <v>-</v>
      </c>
      <c r="BP117" s="149" t="str">
        <f t="shared" si="69"/>
        <v>-</v>
      </c>
      <c r="BQ117" s="149" t="str">
        <f t="shared" si="69"/>
        <v>-</v>
      </c>
      <c r="BR117" s="149" t="str">
        <f t="shared" si="69"/>
        <v>-</v>
      </c>
      <c r="BS117" s="149" t="str">
        <f t="shared" si="69"/>
        <v>-</v>
      </c>
      <c r="BT117" s="302"/>
      <c r="BU117" s="605"/>
      <c r="BV117" s="824" t="str">
        <f t="shared" si="66"/>
        <v>Grants/Reductions</v>
      </c>
      <c r="BW117" s="605"/>
      <c r="BX117" s="620"/>
      <c r="BY117" s="605"/>
    </row>
    <row r="118" spans="1:77" ht="16" outlineLevel="1" x14ac:dyDescent="0.15">
      <c r="A118" s="875"/>
      <c r="B118" s="1094" t="str">
        <f>"Total "&amp;B113</f>
        <v>Total Grants/Reductions</v>
      </c>
      <c r="C118" s="1092"/>
      <c r="D118" s="1092"/>
      <c r="E118" s="876"/>
      <c r="F118" s="877"/>
      <c r="G118" s="877"/>
      <c r="H118" s="877"/>
      <c r="I118" s="878" t="s">
        <v>107</v>
      </c>
      <c r="J118" s="879"/>
      <c r="K118" s="880"/>
      <c r="L118" s="881">
        <f>SUM(L114:L117)</f>
        <v>-25000</v>
      </c>
      <c r="M118" s="882" t="s">
        <v>51</v>
      </c>
      <c r="N118" s="880"/>
      <c r="O118" s="883">
        <f>SUM(O114:O117)</f>
        <v>0</v>
      </c>
      <c r="P118" s="884">
        <f>SUM(P114:P117)</f>
        <v>-25000</v>
      </c>
      <c r="Q118" s="880"/>
      <c r="R118" s="880"/>
      <c r="S118" s="880"/>
      <c r="T118" s="885"/>
      <c r="U118" s="883">
        <f>SUM(U114:U117)</f>
        <v>0</v>
      </c>
      <c r="V118" s="886"/>
      <c r="W118" s="887"/>
      <c r="X118" s="888"/>
      <c r="Y118" s="889">
        <f>SUM(Y114:Y117)</f>
        <v>0</v>
      </c>
      <c r="Z118" s="890"/>
      <c r="AA118" s="891">
        <f>SUM(AA114:AA117)</f>
        <v>-25000</v>
      </c>
      <c r="AB118" s="670"/>
      <c r="AC118" s="891">
        <f>SUM(AC114:AC117)</f>
        <v>0</v>
      </c>
      <c r="AD118" s="892">
        <f>SUM(AD114:AD117)</f>
        <v>0</v>
      </c>
      <c r="AE118" s="892">
        <f>SUM(AE114:AE117)</f>
        <v>-25000</v>
      </c>
      <c r="AF118" s="893">
        <f>SUM(AF114:AF117)</f>
        <v>0</v>
      </c>
      <c r="AG118" s="893">
        <f>SUM(AG114:AG117)</f>
        <v>0</v>
      </c>
      <c r="AH118" s="893">
        <f>SUM(AH114:AH117)</f>
        <v>0</v>
      </c>
      <c r="AI118" s="893">
        <f>SUM(AI114:AI117)</f>
        <v>0</v>
      </c>
      <c r="AJ118" s="893">
        <f>SUM(AJ114:AJ117)</f>
        <v>0</v>
      </c>
      <c r="AK118" s="893">
        <f>SUM(AK114:AK117)</f>
        <v>0</v>
      </c>
      <c r="AL118" s="893">
        <f>SUM(AL114:AL117)</f>
        <v>0</v>
      </c>
      <c r="AM118" s="893">
        <f>SUM(AM114:AM117)</f>
        <v>0</v>
      </c>
      <c r="AN118" s="893">
        <f>SUM(AN114:AN117)</f>
        <v>0</v>
      </c>
      <c r="AO118" s="893">
        <f>SUM(AO114:AO117)</f>
        <v>0</v>
      </c>
      <c r="AP118" s="893">
        <f>SUM(AP114:AP117)</f>
        <v>0</v>
      </c>
      <c r="AQ118" s="893">
        <f>SUM(AQ114:AQ117)</f>
        <v>0</v>
      </c>
      <c r="AR118" s="893">
        <f>SUM(AR114:AR117)</f>
        <v>0</v>
      </c>
      <c r="AS118" s="893">
        <f>SUM(AS114:AS117)</f>
        <v>0</v>
      </c>
      <c r="AT118" s="893">
        <f>SUM(AT114:AT117)</f>
        <v>0</v>
      </c>
      <c r="AU118" s="893">
        <f>SUM(AU114:AU117)</f>
        <v>0</v>
      </c>
      <c r="AV118" s="893">
        <f>SUM(AV114:AV117)</f>
        <v>0</v>
      </c>
      <c r="AW118" s="893">
        <f>SUM(AW114:AW117)</f>
        <v>0</v>
      </c>
      <c r="AX118" s="893">
        <f>SUM(AX114:AX117)</f>
        <v>0</v>
      </c>
      <c r="AY118" s="893">
        <f>SUM(AY114:AY117)</f>
        <v>0</v>
      </c>
      <c r="AZ118" s="893">
        <f>SUM(AZ114:AZ117)</f>
        <v>0</v>
      </c>
      <c r="BA118" s="893">
        <f>SUM(BA114:BA117)</f>
        <v>0</v>
      </c>
      <c r="BB118" s="893">
        <f>SUM(BB114:BB117)</f>
        <v>0</v>
      </c>
      <c r="BC118" s="893">
        <f>SUM(BC114:BC117)</f>
        <v>0</v>
      </c>
      <c r="BD118" s="893">
        <f>SUM(BD114:BD117)</f>
        <v>0</v>
      </c>
      <c r="BE118" s="893">
        <f>SUM(BE114:BE117)</f>
        <v>0</v>
      </c>
      <c r="BF118" s="893">
        <f>SUM(BF114:BF117)</f>
        <v>0</v>
      </c>
      <c r="BG118" s="893">
        <f>SUM(BG114:BG117)</f>
        <v>0</v>
      </c>
      <c r="BH118" s="893">
        <f>SUM(BH114:BH117)</f>
        <v>0</v>
      </c>
      <c r="BI118" s="893">
        <f>SUM(BI114:BI117)</f>
        <v>0</v>
      </c>
      <c r="BJ118" s="893">
        <f>SUM(BJ114:BJ117)</f>
        <v>0</v>
      </c>
      <c r="BK118" s="893">
        <f>SUM(BK114:BK117)</f>
        <v>0</v>
      </c>
      <c r="BL118" s="893">
        <f>SUM(BL114:BL117)</f>
        <v>0</v>
      </c>
      <c r="BM118" s="893">
        <f>SUM(BM114:BM117)</f>
        <v>0</v>
      </c>
      <c r="BN118" s="893">
        <f>SUM(BN114:BN117)</f>
        <v>0</v>
      </c>
      <c r="BO118" s="893">
        <f>SUM(BO114:BO117)</f>
        <v>0</v>
      </c>
      <c r="BP118" s="893">
        <f>SUM(BP114:BP117)</f>
        <v>0</v>
      </c>
      <c r="BQ118" s="893">
        <f>SUM(BQ114:BQ117)</f>
        <v>0</v>
      </c>
      <c r="BR118" s="893">
        <f>SUM(BR114:BR117)</f>
        <v>0</v>
      </c>
      <c r="BS118" s="893">
        <f>SUM(BS114:BS117)</f>
        <v>0</v>
      </c>
      <c r="BT118" s="890"/>
      <c r="BU118" s="890"/>
      <c r="BV118" s="894"/>
      <c r="BW118" s="890"/>
      <c r="BX118" s="895"/>
      <c r="BY118" s="890"/>
    </row>
    <row r="119" spans="1:77" ht="15" outlineLevel="1" x14ac:dyDescent="0.15">
      <c r="A119" s="605"/>
      <c r="B119" s="777"/>
      <c r="C119" s="777"/>
      <c r="D119" s="777"/>
      <c r="E119" s="777"/>
      <c r="F119" s="778"/>
      <c r="G119" s="778"/>
      <c r="H119" s="779"/>
      <c r="I119" s="780"/>
      <c r="J119" s="781"/>
      <c r="K119" s="896"/>
      <c r="L119" s="782"/>
      <c r="M119" s="783"/>
      <c r="N119" s="784"/>
      <c r="O119" s="782"/>
      <c r="P119" s="785"/>
      <c r="Q119" s="786"/>
      <c r="R119" s="786"/>
      <c r="S119" s="786"/>
      <c r="T119" s="787"/>
      <c r="U119" s="785"/>
      <c r="V119" s="777"/>
      <c r="W119" s="777"/>
      <c r="X119" s="788"/>
      <c r="Y119" s="785"/>
      <c r="Z119" s="786"/>
      <c r="AA119" s="789"/>
      <c r="AB119" s="631"/>
      <c r="AC119" s="790"/>
      <c r="AD119" s="790"/>
      <c r="AE119" s="790"/>
      <c r="AF119" s="790"/>
      <c r="AG119" s="790"/>
      <c r="AH119" s="790"/>
      <c r="AI119" s="790"/>
      <c r="AJ119" s="790"/>
      <c r="AK119" s="790"/>
      <c r="AL119" s="790"/>
      <c r="AM119" s="790"/>
      <c r="AN119" s="790"/>
      <c r="AO119" s="790"/>
      <c r="AP119" s="790"/>
      <c r="AQ119" s="790"/>
      <c r="AR119" s="790"/>
      <c r="AS119" s="790"/>
      <c r="AT119" s="790"/>
      <c r="AU119" s="790"/>
      <c r="AV119" s="790"/>
      <c r="AW119" s="790"/>
      <c r="AX119" s="790"/>
      <c r="AY119" s="790"/>
      <c r="AZ119" s="790"/>
      <c r="BA119" s="790"/>
      <c r="BB119" s="790"/>
      <c r="BC119" s="790"/>
      <c r="BD119" s="790"/>
      <c r="BE119" s="790"/>
      <c r="BF119" s="790"/>
      <c r="BG119" s="790"/>
      <c r="BH119" s="790"/>
      <c r="BI119" s="790"/>
      <c r="BJ119" s="790"/>
      <c r="BK119" s="790"/>
      <c r="BL119" s="790"/>
      <c r="BM119" s="790"/>
      <c r="BN119" s="790"/>
      <c r="BO119" s="790"/>
      <c r="BP119" s="790"/>
      <c r="BQ119" s="790"/>
      <c r="BR119" s="790"/>
      <c r="BS119" s="790"/>
      <c r="BT119" s="302"/>
      <c r="BU119" s="605"/>
      <c r="BV119" s="620"/>
      <c r="BW119" s="605"/>
      <c r="BX119" s="620"/>
      <c r="BY119" s="605"/>
    </row>
    <row r="120" spans="1:77" ht="9.75" customHeight="1" x14ac:dyDescent="0.15">
      <c r="A120" s="605"/>
      <c r="B120" s="291"/>
      <c r="C120" s="291"/>
      <c r="D120" s="291"/>
      <c r="E120" s="291"/>
      <c r="F120" s="379"/>
      <c r="G120" s="379"/>
      <c r="H120" s="621"/>
      <c r="I120" s="620"/>
      <c r="J120" s="622"/>
      <c r="K120" s="623"/>
      <c r="L120" s="624"/>
      <c r="M120" s="625"/>
      <c r="N120" s="626"/>
      <c r="O120" s="624"/>
      <c r="P120" s="627"/>
      <c r="Q120" s="302"/>
      <c r="R120" s="302"/>
      <c r="S120" s="302"/>
      <c r="T120" s="628"/>
      <c r="U120" s="627"/>
      <c r="V120" s="291"/>
      <c r="W120" s="291"/>
      <c r="X120" s="629"/>
      <c r="Y120" s="627"/>
      <c r="Z120" s="302"/>
      <c r="AA120" s="631"/>
      <c r="AB120" s="631"/>
      <c r="AC120" s="632"/>
      <c r="AD120" s="632"/>
      <c r="AE120" s="632"/>
      <c r="AF120" s="632"/>
      <c r="AG120" s="632"/>
      <c r="AH120" s="632"/>
      <c r="AI120" s="632"/>
      <c r="AJ120" s="632"/>
      <c r="AK120" s="632"/>
      <c r="AL120" s="632"/>
      <c r="AM120" s="632"/>
      <c r="AN120" s="632"/>
      <c r="AO120" s="632"/>
      <c r="AP120" s="632"/>
      <c r="AQ120" s="632"/>
      <c r="AR120" s="632"/>
      <c r="AS120" s="632"/>
      <c r="AT120" s="632"/>
      <c r="AU120" s="632"/>
      <c r="AV120" s="632"/>
      <c r="AW120" s="632"/>
      <c r="AX120" s="632"/>
      <c r="AY120" s="632"/>
      <c r="AZ120" s="632"/>
      <c r="BA120" s="632"/>
      <c r="BB120" s="632"/>
      <c r="BC120" s="632"/>
      <c r="BD120" s="632"/>
      <c r="BE120" s="632"/>
      <c r="BF120" s="632"/>
      <c r="BG120" s="632"/>
      <c r="BH120" s="632"/>
      <c r="BI120" s="632"/>
      <c r="BJ120" s="632"/>
      <c r="BK120" s="632"/>
      <c r="BL120" s="632"/>
      <c r="BM120" s="632"/>
      <c r="BN120" s="632"/>
      <c r="BO120" s="632"/>
      <c r="BP120" s="632"/>
      <c r="BQ120" s="632"/>
      <c r="BR120" s="632"/>
      <c r="BS120" s="632"/>
      <c r="BT120" s="302"/>
      <c r="BU120" s="605"/>
      <c r="BV120" s="620"/>
      <c r="BW120" s="605"/>
      <c r="BX120" s="620"/>
      <c r="BY120" s="605"/>
    </row>
    <row r="121" spans="1:77" ht="3.75" customHeight="1" x14ac:dyDescent="0.15">
      <c r="A121" s="605"/>
      <c r="B121" s="291"/>
      <c r="C121" s="291"/>
      <c r="D121" s="291"/>
      <c r="E121" s="291"/>
      <c r="F121" s="379"/>
      <c r="G121" s="379"/>
      <c r="H121" s="621"/>
      <c r="I121" s="620"/>
      <c r="J121" s="622"/>
      <c r="K121" s="623"/>
      <c r="L121" s="624"/>
      <c r="M121" s="625"/>
      <c r="N121" s="626"/>
      <c r="O121" s="624"/>
      <c r="P121" s="627"/>
      <c r="Q121" s="302"/>
      <c r="R121" s="302"/>
      <c r="S121" s="302"/>
      <c r="T121" s="628"/>
      <c r="U121" s="627"/>
      <c r="V121" s="291"/>
      <c r="W121" s="291"/>
      <c r="X121" s="629"/>
      <c r="Y121" s="627"/>
      <c r="Z121" s="302"/>
      <c r="AA121" s="631"/>
      <c r="AB121" s="631"/>
      <c r="AC121" s="632"/>
      <c r="AD121" s="632"/>
      <c r="AE121" s="632"/>
      <c r="AF121" s="632"/>
      <c r="AG121" s="632"/>
      <c r="AH121" s="632"/>
      <c r="AI121" s="632"/>
      <c r="AJ121" s="632"/>
      <c r="AK121" s="632"/>
      <c r="AL121" s="632"/>
      <c r="AM121" s="632"/>
      <c r="AN121" s="632"/>
      <c r="AO121" s="632"/>
      <c r="AP121" s="632"/>
      <c r="AQ121" s="632"/>
      <c r="AR121" s="632"/>
      <c r="AS121" s="632"/>
      <c r="AT121" s="632"/>
      <c r="AU121" s="632"/>
      <c r="AV121" s="632"/>
      <c r="AW121" s="632"/>
      <c r="AX121" s="632"/>
      <c r="AY121" s="632"/>
      <c r="AZ121" s="632"/>
      <c r="BA121" s="632"/>
      <c r="BB121" s="632"/>
      <c r="BC121" s="632"/>
      <c r="BD121" s="632"/>
      <c r="BE121" s="632"/>
      <c r="BF121" s="632"/>
      <c r="BG121" s="632"/>
      <c r="BH121" s="632"/>
      <c r="BI121" s="632"/>
      <c r="BJ121" s="632"/>
      <c r="BK121" s="632"/>
      <c r="BL121" s="632"/>
      <c r="BM121" s="632"/>
      <c r="BN121" s="632"/>
      <c r="BO121" s="632"/>
      <c r="BP121" s="632"/>
      <c r="BQ121" s="632"/>
      <c r="BR121" s="632"/>
      <c r="BS121" s="632"/>
      <c r="BT121" s="302"/>
      <c r="BU121" s="605"/>
      <c r="BV121" s="620"/>
      <c r="BW121" s="605"/>
      <c r="BX121" s="620"/>
      <c r="BY121" s="605"/>
    </row>
    <row r="122" spans="1:77" ht="15" x14ac:dyDescent="0.15">
      <c r="A122" s="605"/>
      <c r="B122" s="291"/>
      <c r="C122" s="291"/>
      <c r="D122" s="291"/>
      <c r="E122" s="291"/>
      <c r="F122" s="379"/>
      <c r="G122" s="379"/>
      <c r="H122" s="621"/>
      <c r="I122" s="620"/>
      <c r="J122" s="622"/>
      <c r="K122" s="623"/>
      <c r="L122" s="624"/>
      <c r="M122" s="625"/>
      <c r="N122" s="626"/>
      <c r="O122" s="624"/>
      <c r="P122" s="627"/>
      <c r="Q122" s="302"/>
      <c r="R122" s="302"/>
      <c r="S122" s="302"/>
      <c r="T122" s="628"/>
      <c r="U122" s="627"/>
      <c r="V122" s="291"/>
      <c r="W122" s="291"/>
      <c r="X122" s="629"/>
      <c r="Y122" s="627"/>
      <c r="Z122" s="302"/>
      <c r="AA122" s="631"/>
      <c r="AB122" s="631"/>
      <c r="AC122" s="632"/>
      <c r="AD122" s="632"/>
      <c r="AE122" s="632"/>
      <c r="AF122" s="632"/>
      <c r="AG122" s="632"/>
      <c r="AH122" s="632"/>
      <c r="AI122" s="632"/>
      <c r="AJ122" s="632"/>
      <c r="AK122" s="632"/>
      <c r="AL122" s="632"/>
      <c r="AM122" s="632"/>
      <c r="AN122" s="632"/>
      <c r="AO122" s="632"/>
      <c r="AP122" s="632"/>
      <c r="AQ122" s="632"/>
      <c r="AR122" s="632"/>
      <c r="AS122" s="632"/>
      <c r="AT122" s="632"/>
      <c r="AU122" s="632"/>
      <c r="AV122" s="632"/>
      <c r="AW122" s="632"/>
      <c r="AX122" s="632"/>
      <c r="AY122" s="632"/>
      <c r="AZ122" s="632"/>
      <c r="BA122" s="632"/>
      <c r="BB122" s="632"/>
      <c r="BC122" s="632"/>
      <c r="BD122" s="632"/>
      <c r="BE122" s="632"/>
      <c r="BF122" s="632"/>
      <c r="BG122" s="632"/>
      <c r="BH122" s="632"/>
      <c r="BI122" s="632"/>
      <c r="BJ122" s="632"/>
      <c r="BK122" s="632"/>
      <c r="BL122" s="632"/>
      <c r="BM122" s="632"/>
      <c r="BN122" s="632"/>
      <c r="BO122" s="632"/>
      <c r="BP122" s="632"/>
      <c r="BQ122" s="632"/>
      <c r="BR122" s="632"/>
      <c r="BS122" s="632"/>
      <c r="BT122" s="302"/>
      <c r="BU122" s="605"/>
      <c r="BV122" s="620"/>
      <c r="BW122" s="605"/>
      <c r="BX122" s="620"/>
      <c r="BY122" s="605"/>
    </row>
    <row r="123" spans="1:77" ht="15" x14ac:dyDescent="0.15">
      <c r="A123" s="605"/>
      <c r="B123" s="291"/>
      <c r="C123" s="291"/>
      <c r="D123" s="291"/>
      <c r="E123" s="291"/>
      <c r="F123" s="379"/>
      <c r="G123" s="379"/>
      <c r="H123" s="621"/>
      <c r="I123" s="620"/>
      <c r="J123" s="622"/>
      <c r="K123" s="623"/>
      <c r="L123" s="624"/>
      <c r="M123" s="625"/>
      <c r="N123" s="626"/>
      <c r="O123" s="624"/>
      <c r="P123" s="627"/>
      <c r="Q123" s="302"/>
      <c r="R123" s="302"/>
      <c r="S123" s="302"/>
      <c r="T123" s="628"/>
      <c r="U123" s="627"/>
      <c r="V123" s="291"/>
      <c r="W123" s="291"/>
      <c r="X123" s="629"/>
      <c r="Y123" s="627"/>
      <c r="Z123" s="302"/>
      <c r="AA123" s="631"/>
      <c r="AB123" s="631"/>
      <c r="AC123" s="632"/>
      <c r="AD123" s="632"/>
      <c r="AE123" s="632"/>
      <c r="AF123" s="632"/>
      <c r="AG123" s="632"/>
      <c r="AH123" s="632"/>
      <c r="AI123" s="632"/>
      <c r="AJ123" s="632"/>
      <c r="AK123" s="632"/>
      <c r="AL123" s="632"/>
      <c r="AM123" s="632"/>
      <c r="AN123" s="632"/>
      <c r="AO123" s="632"/>
      <c r="AP123" s="632"/>
      <c r="AQ123" s="632"/>
      <c r="AR123" s="632"/>
      <c r="AS123" s="632"/>
      <c r="AT123" s="632"/>
      <c r="AU123" s="632"/>
      <c r="AV123" s="632"/>
      <c r="AW123" s="632"/>
      <c r="AX123" s="632"/>
      <c r="AY123" s="632"/>
      <c r="AZ123" s="632"/>
      <c r="BA123" s="632"/>
      <c r="BB123" s="632"/>
      <c r="BC123" s="632"/>
      <c r="BD123" s="632"/>
      <c r="BE123" s="632"/>
      <c r="BF123" s="632"/>
      <c r="BG123" s="632"/>
      <c r="BH123" s="632"/>
      <c r="BI123" s="632"/>
      <c r="BJ123" s="632"/>
      <c r="BK123" s="632"/>
      <c r="BL123" s="632"/>
      <c r="BM123" s="632"/>
      <c r="BN123" s="632"/>
      <c r="BO123" s="632"/>
      <c r="BP123" s="632"/>
      <c r="BQ123" s="632"/>
      <c r="BR123" s="632"/>
      <c r="BS123" s="632"/>
      <c r="BT123" s="302"/>
      <c r="BU123" s="605"/>
      <c r="BV123" s="620"/>
      <c r="BW123" s="605"/>
      <c r="BX123" s="620"/>
      <c r="BY123" s="605"/>
    </row>
    <row r="124" spans="1:77" ht="15" x14ac:dyDescent="0.15">
      <c r="A124" s="605"/>
      <c r="B124" s="291"/>
      <c r="C124" s="291"/>
      <c r="D124" s="291"/>
      <c r="E124" s="291"/>
      <c r="F124" s="379"/>
      <c r="G124" s="379"/>
      <c r="H124" s="621"/>
      <c r="I124" s="620"/>
      <c r="J124" s="622"/>
      <c r="K124" s="623"/>
      <c r="L124" s="624"/>
      <c r="M124" s="625"/>
      <c r="N124" s="626"/>
      <c r="O124" s="624"/>
      <c r="P124" s="627"/>
      <c r="Q124" s="302"/>
      <c r="R124" s="302"/>
      <c r="S124" s="302"/>
      <c r="T124" s="628"/>
      <c r="U124" s="627"/>
      <c r="V124" s="291"/>
      <c r="W124" s="291"/>
      <c r="X124" s="629"/>
      <c r="Y124" s="627"/>
      <c r="Z124" s="302"/>
      <c r="AA124" s="631"/>
      <c r="AB124" s="631"/>
      <c r="AC124" s="632"/>
      <c r="AD124" s="632"/>
      <c r="AE124" s="632"/>
      <c r="AF124" s="632"/>
      <c r="AG124" s="632"/>
      <c r="AH124" s="632"/>
      <c r="AI124" s="632"/>
      <c r="AJ124" s="632"/>
      <c r="AK124" s="632"/>
      <c r="AL124" s="632"/>
      <c r="AM124" s="632"/>
      <c r="AN124" s="632"/>
      <c r="AO124" s="632"/>
      <c r="AP124" s="632"/>
      <c r="AQ124" s="632"/>
      <c r="AR124" s="632"/>
      <c r="AS124" s="632"/>
      <c r="AT124" s="632"/>
      <c r="AU124" s="632"/>
      <c r="AV124" s="632"/>
      <c r="AW124" s="632"/>
      <c r="AX124" s="632"/>
      <c r="AY124" s="632"/>
      <c r="AZ124" s="632"/>
      <c r="BA124" s="632"/>
      <c r="BB124" s="632"/>
      <c r="BC124" s="632"/>
      <c r="BD124" s="632"/>
      <c r="BE124" s="632"/>
      <c r="BF124" s="632"/>
      <c r="BG124" s="632"/>
      <c r="BH124" s="632"/>
      <c r="BI124" s="632"/>
      <c r="BJ124" s="632"/>
      <c r="BK124" s="632"/>
      <c r="BL124" s="632"/>
      <c r="BM124" s="632"/>
      <c r="BN124" s="632"/>
      <c r="BO124" s="632"/>
      <c r="BP124" s="632"/>
      <c r="BQ124" s="632"/>
      <c r="BR124" s="632"/>
      <c r="BS124" s="632"/>
      <c r="BT124" s="302"/>
      <c r="BU124" s="605"/>
      <c r="BV124" s="620"/>
      <c r="BW124" s="605"/>
      <c r="BX124" s="620"/>
      <c r="BY124" s="605"/>
    </row>
    <row r="125" spans="1:77" ht="15" x14ac:dyDescent="0.15">
      <c r="A125" s="605"/>
      <c r="B125" s="291"/>
      <c r="C125" s="291"/>
      <c r="D125" s="291"/>
      <c r="E125" s="291"/>
      <c r="F125" s="379"/>
      <c r="G125" s="379"/>
      <c r="H125" s="621"/>
      <c r="I125" s="620"/>
      <c r="J125" s="622"/>
      <c r="K125" s="623"/>
      <c r="L125" s="624"/>
      <c r="M125" s="625"/>
      <c r="N125" s="626"/>
      <c r="O125" s="624"/>
      <c r="P125" s="627"/>
      <c r="Q125" s="302"/>
      <c r="R125" s="302"/>
      <c r="S125" s="302"/>
      <c r="T125" s="628"/>
      <c r="U125" s="627"/>
      <c r="V125" s="291"/>
      <c r="W125" s="291"/>
      <c r="X125" s="629"/>
      <c r="Y125" s="627"/>
      <c r="Z125" s="302"/>
      <c r="AA125" s="631"/>
      <c r="AB125" s="631"/>
      <c r="AC125" s="632"/>
      <c r="AD125" s="632"/>
      <c r="AE125" s="632"/>
      <c r="AF125" s="632"/>
      <c r="AG125" s="632"/>
      <c r="AH125" s="632"/>
      <c r="AI125" s="632"/>
      <c r="AJ125" s="632"/>
      <c r="AK125" s="632"/>
      <c r="AL125" s="632"/>
      <c r="AM125" s="632"/>
      <c r="AN125" s="632"/>
      <c r="AO125" s="632"/>
      <c r="AP125" s="632"/>
      <c r="AQ125" s="632"/>
      <c r="AR125" s="632"/>
      <c r="AS125" s="632"/>
      <c r="AT125" s="632"/>
      <c r="AU125" s="632"/>
      <c r="AV125" s="632"/>
      <c r="AW125" s="632"/>
      <c r="AX125" s="632"/>
      <c r="AY125" s="632"/>
      <c r="AZ125" s="632"/>
      <c r="BA125" s="632"/>
      <c r="BB125" s="632"/>
      <c r="BC125" s="632"/>
      <c r="BD125" s="632"/>
      <c r="BE125" s="632"/>
      <c r="BF125" s="632"/>
      <c r="BG125" s="632"/>
      <c r="BH125" s="632"/>
      <c r="BI125" s="632"/>
      <c r="BJ125" s="632"/>
      <c r="BK125" s="632"/>
      <c r="BL125" s="632"/>
      <c r="BM125" s="632"/>
      <c r="BN125" s="632"/>
      <c r="BO125" s="632"/>
      <c r="BP125" s="632"/>
      <c r="BQ125" s="632"/>
      <c r="BR125" s="632"/>
      <c r="BS125" s="632"/>
      <c r="BT125" s="302"/>
      <c r="BU125" s="605"/>
      <c r="BV125" s="620"/>
      <c r="BW125" s="605"/>
      <c r="BX125" s="620"/>
      <c r="BY125" s="605"/>
    </row>
    <row r="126" spans="1:77" ht="15" x14ac:dyDescent="0.15">
      <c r="A126" s="9"/>
      <c r="B126" s="1095" t="s">
        <v>156</v>
      </c>
      <c r="C126" s="1049"/>
      <c r="D126" s="1"/>
      <c r="E126" s="76"/>
      <c r="F126" s="75"/>
      <c r="G126" s="75"/>
      <c r="H126" s="72"/>
      <c r="I126" s="76"/>
      <c r="J126" s="152"/>
      <c r="K126" s="151"/>
      <c r="L126" s="74"/>
      <c r="M126" s="1"/>
      <c r="N126" s="151"/>
      <c r="O126" s="153"/>
      <c r="P126" s="356"/>
      <c r="Q126" s="1"/>
      <c r="R126" s="1"/>
      <c r="S126" s="1"/>
      <c r="T126" s="150"/>
      <c r="U126" s="150"/>
      <c r="V126" s="76"/>
      <c r="W126" s="1"/>
      <c r="X126" s="322"/>
      <c r="Y126" s="150"/>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76"/>
      <c r="BW126" s="1"/>
      <c r="BX126" s="76"/>
      <c r="BY126" s="1"/>
    </row>
    <row r="127" spans="1:77" ht="6.75" customHeight="1" x14ac:dyDescent="0.15">
      <c r="A127" s="264"/>
      <c r="B127" s="264"/>
      <c r="C127" s="264"/>
      <c r="D127" s="302"/>
      <c r="E127" s="620"/>
      <c r="F127" s="1038"/>
      <c r="G127" s="1038"/>
      <c r="H127" s="1039"/>
      <c r="I127" s="620"/>
      <c r="J127" s="1040"/>
      <c r="K127" s="1041"/>
      <c r="L127" s="631"/>
      <c r="M127" s="302"/>
      <c r="N127" s="1041"/>
      <c r="O127" s="1042"/>
      <c r="P127" s="1043"/>
      <c r="Q127" s="302"/>
      <c r="R127" s="302"/>
      <c r="S127" s="302"/>
      <c r="T127" s="628"/>
      <c r="U127" s="628"/>
      <c r="V127" s="620"/>
      <c r="W127" s="302"/>
      <c r="X127" s="1044"/>
      <c r="Y127" s="628"/>
      <c r="Z127" s="302"/>
      <c r="AA127" s="302"/>
      <c r="AB127" s="302"/>
      <c r="AC127" s="302"/>
      <c r="AD127" s="302"/>
      <c r="AE127" s="302"/>
      <c r="AF127" s="302"/>
      <c r="AG127" s="302"/>
      <c r="AH127" s="302"/>
      <c r="AI127" s="302"/>
      <c r="AJ127" s="302"/>
      <c r="AK127" s="302"/>
      <c r="AL127" s="302"/>
      <c r="AM127" s="302"/>
      <c r="AN127" s="302"/>
      <c r="AO127" s="302"/>
      <c r="AP127" s="302"/>
      <c r="AQ127" s="302"/>
      <c r="AR127" s="302"/>
      <c r="AS127" s="302"/>
      <c r="AT127" s="302"/>
      <c r="AU127" s="302"/>
      <c r="AV127" s="302"/>
      <c r="AW127" s="302"/>
      <c r="AX127" s="302"/>
      <c r="AY127" s="302"/>
      <c r="AZ127" s="302"/>
      <c r="BA127" s="302"/>
      <c r="BB127" s="302"/>
      <c r="BC127" s="302"/>
      <c r="BD127" s="302"/>
      <c r="BE127" s="302"/>
      <c r="BF127" s="302"/>
      <c r="BG127" s="302"/>
      <c r="BH127" s="302"/>
      <c r="BI127" s="302"/>
      <c r="BJ127" s="302"/>
      <c r="BK127" s="302"/>
      <c r="BL127" s="302"/>
      <c r="BM127" s="302"/>
      <c r="BN127" s="302"/>
      <c r="BO127" s="302"/>
      <c r="BP127" s="302"/>
      <c r="BQ127" s="302"/>
      <c r="BR127" s="302"/>
      <c r="BS127" s="302"/>
      <c r="BT127" s="302"/>
      <c r="BU127" s="302"/>
      <c r="BV127" s="620"/>
      <c r="BW127" s="302"/>
      <c r="BX127" s="620"/>
      <c r="BY127" s="302"/>
    </row>
    <row r="128" spans="1:77" ht="16" x14ac:dyDescent="0.15">
      <c r="A128" s="9"/>
      <c r="B128" s="897" t="s">
        <v>157</v>
      </c>
      <c r="C128" s="899" t="s">
        <v>183</v>
      </c>
      <c r="D128" s="1"/>
      <c r="E128" s="76"/>
      <c r="F128" s="75"/>
      <c r="G128" s="75"/>
      <c r="H128" s="72"/>
      <c r="I128" s="76"/>
      <c r="J128" s="152"/>
      <c r="K128" s="151"/>
      <c r="L128" s="74"/>
      <c r="M128" s="1"/>
      <c r="N128" s="151"/>
      <c r="O128" s="153"/>
      <c r="P128" s="356"/>
      <c r="Q128" s="1"/>
      <c r="R128" s="1"/>
      <c r="S128" s="1"/>
      <c r="T128" s="150"/>
      <c r="U128" s="150"/>
      <c r="V128" s="76"/>
      <c r="W128" s="1"/>
      <c r="X128" s="322"/>
      <c r="Y128" s="150"/>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76"/>
      <c r="BW128" s="1"/>
      <c r="BX128" s="76"/>
      <c r="BY128" s="1"/>
    </row>
    <row r="129" spans="1:77" ht="16" x14ac:dyDescent="0.15">
      <c r="A129" s="9"/>
      <c r="B129" s="897" t="s">
        <v>158</v>
      </c>
      <c r="C129" s="1045" t="str">
        <f ca="1">IFERROR(__xludf.DUMMYFUNCTION("JOIN("""",ArrayFormula(left(split(C130,"" ""),1)))"),"XX")</f>
        <v>XX</v>
      </c>
      <c r="D129" s="1"/>
      <c r="E129" s="76"/>
      <c r="F129" s="75"/>
      <c r="G129" s="75"/>
      <c r="H129" s="72"/>
      <c r="I129" s="76"/>
      <c r="J129" s="152"/>
      <c r="K129" s="151"/>
      <c r="L129" s="74"/>
      <c r="M129" s="1"/>
      <c r="N129" s="151"/>
      <c r="O129" s="153"/>
      <c r="P129" s="356"/>
      <c r="Q129" s="1"/>
      <c r="R129" s="1"/>
      <c r="S129" s="1"/>
      <c r="T129" s="150"/>
      <c r="U129" s="150"/>
      <c r="V129" s="76"/>
      <c r="W129" s="1"/>
      <c r="X129" s="322"/>
      <c r="Y129" s="150"/>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76"/>
      <c r="BW129" s="1"/>
      <c r="BX129" s="76"/>
      <c r="BY129" s="1"/>
    </row>
    <row r="130" spans="1:77" ht="16" x14ac:dyDescent="0.15">
      <c r="A130" s="9"/>
      <c r="B130" s="897" t="s">
        <v>159</v>
      </c>
      <c r="C130" s="899" t="s">
        <v>160</v>
      </c>
      <c r="D130" s="1"/>
      <c r="E130" s="76"/>
      <c r="F130" s="75"/>
      <c r="G130" s="75"/>
      <c r="H130" s="72"/>
      <c r="I130" s="76"/>
      <c r="J130" s="152"/>
      <c r="K130" s="151"/>
      <c r="L130" s="74"/>
      <c r="M130" s="1"/>
      <c r="N130" s="151"/>
      <c r="O130" s="153"/>
      <c r="P130" s="356"/>
      <c r="Q130" s="1"/>
      <c r="R130" s="1"/>
      <c r="S130" s="1"/>
      <c r="T130" s="150"/>
      <c r="U130" s="150"/>
      <c r="V130" s="76"/>
      <c r="W130" s="1"/>
      <c r="X130" s="322"/>
      <c r="Y130" s="150"/>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76"/>
      <c r="BW130" s="1"/>
      <c r="BX130" s="76"/>
      <c r="BY130" s="1"/>
    </row>
    <row r="131" spans="1:77" ht="32" x14ac:dyDescent="0.15">
      <c r="A131" s="9"/>
      <c r="B131" s="897" t="s">
        <v>161</v>
      </c>
      <c r="C131" s="899" t="s">
        <v>184</v>
      </c>
      <c r="D131" s="1"/>
      <c r="E131" s="76"/>
      <c r="F131" s="75"/>
      <c r="G131" s="75"/>
      <c r="H131" s="72"/>
      <c r="I131" s="76"/>
      <c r="J131" s="152"/>
      <c r="K131" s="151"/>
      <c r="L131" s="74"/>
      <c r="M131" s="1"/>
      <c r="N131" s="151"/>
      <c r="O131" s="153"/>
      <c r="P131" s="356"/>
      <c r="Q131" s="1"/>
      <c r="R131" s="1"/>
      <c r="S131" s="1"/>
      <c r="T131" s="150"/>
      <c r="U131" s="150"/>
      <c r="V131" s="76"/>
      <c r="W131" s="1"/>
      <c r="X131" s="322"/>
      <c r="Y131" s="150"/>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76"/>
      <c r="BW131" s="1"/>
      <c r="BX131" s="76"/>
      <c r="BY131" s="1"/>
    </row>
    <row r="132" spans="1:77" ht="32" x14ac:dyDescent="0.15">
      <c r="A132" s="9"/>
      <c r="B132" s="897" t="s">
        <v>162</v>
      </c>
      <c r="C132" s="899"/>
      <c r="D132" s="1"/>
      <c r="E132" s="76"/>
      <c r="F132" s="75"/>
      <c r="G132" s="75"/>
      <c r="H132" s="72"/>
      <c r="I132" s="76"/>
      <c r="J132" s="152"/>
      <c r="K132" s="151"/>
      <c r="L132" s="74"/>
      <c r="M132" s="1"/>
      <c r="N132" s="151"/>
      <c r="O132" s="153"/>
      <c r="P132" s="356"/>
      <c r="Q132" s="1"/>
      <c r="R132" s="1"/>
      <c r="S132" s="1"/>
      <c r="T132" s="150"/>
      <c r="U132" s="150"/>
      <c r="V132" s="76"/>
      <c r="W132" s="1"/>
      <c r="X132" s="322"/>
      <c r="Y132" s="150"/>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76"/>
      <c r="BW132" s="1"/>
      <c r="BX132" s="76"/>
      <c r="BY132" s="1"/>
    </row>
    <row r="133" spans="1:77" ht="15" x14ac:dyDescent="0.15">
      <c r="A133" s="9"/>
      <c r="B133" s="9"/>
      <c r="C133" s="9"/>
      <c r="D133" s="1"/>
      <c r="E133" s="76"/>
      <c r="F133" s="75"/>
      <c r="G133" s="75"/>
      <c r="H133" s="72"/>
      <c r="I133" s="76"/>
      <c r="J133" s="152"/>
      <c r="K133" s="151"/>
      <c r="L133" s="74"/>
      <c r="M133" s="1"/>
      <c r="N133" s="151"/>
      <c r="O133" s="153"/>
      <c r="P133" s="356"/>
      <c r="Q133" s="1"/>
      <c r="R133" s="1"/>
      <c r="S133" s="1"/>
      <c r="T133" s="150"/>
      <c r="U133" s="150"/>
      <c r="V133" s="76"/>
      <c r="W133" s="1"/>
      <c r="X133" s="322"/>
      <c r="Y133" s="150"/>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76"/>
      <c r="BW133" s="1"/>
      <c r="BX133" s="76"/>
      <c r="BY133" s="1"/>
    </row>
    <row r="134" spans="1:77" ht="15" x14ac:dyDescent="0.15">
      <c r="A134" s="9"/>
      <c r="B134" s="1095" t="s">
        <v>163</v>
      </c>
      <c r="C134" s="1049"/>
      <c r="D134" s="1"/>
      <c r="E134" s="76"/>
      <c r="F134" s="75"/>
      <c r="G134" s="75"/>
      <c r="H134" s="72"/>
      <c r="I134" s="76"/>
      <c r="J134" s="152"/>
      <c r="K134" s="151"/>
      <c r="L134" s="74"/>
      <c r="M134" s="1"/>
      <c r="N134" s="151"/>
      <c r="O134" s="153"/>
      <c r="P134" s="356"/>
      <c r="Q134" s="1"/>
      <c r="R134" s="1"/>
      <c r="S134" s="1"/>
      <c r="T134" s="150"/>
      <c r="U134" s="150"/>
      <c r="V134" s="76"/>
      <c r="W134" s="1"/>
      <c r="X134" s="322"/>
      <c r="Y134" s="150"/>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76"/>
      <c r="BW134" s="1"/>
      <c r="BX134" s="76"/>
      <c r="BY134" s="1"/>
    </row>
    <row r="135" spans="1:77" ht="7.5" customHeight="1" x14ac:dyDescent="0.15">
      <c r="A135" s="9"/>
      <c r="B135" s="9"/>
      <c r="C135" s="898"/>
      <c r="D135" s="1"/>
      <c r="E135" s="76"/>
      <c r="F135" s="75"/>
      <c r="G135" s="75"/>
      <c r="H135" s="72"/>
      <c r="I135" s="76"/>
      <c r="J135" s="152"/>
      <c r="K135" s="151"/>
      <c r="L135" s="74"/>
      <c r="M135" s="1"/>
      <c r="N135" s="151"/>
      <c r="O135" s="153"/>
      <c r="P135" s="356"/>
      <c r="Q135" s="1"/>
      <c r="R135" s="1"/>
      <c r="S135" s="1"/>
      <c r="T135" s="150"/>
      <c r="U135" s="150"/>
      <c r="V135" s="76"/>
      <c r="W135" s="1"/>
      <c r="X135" s="322"/>
      <c r="Y135" s="150"/>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76"/>
      <c r="BW135" s="1"/>
      <c r="BX135" s="76"/>
      <c r="BY135" s="1"/>
    </row>
    <row r="136" spans="1:77" ht="16" x14ac:dyDescent="0.15">
      <c r="A136" s="9"/>
      <c r="B136" s="14" t="s">
        <v>164</v>
      </c>
      <c r="C136" s="899">
        <v>7.0000000000000007E-2</v>
      </c>
      <c r="D136" s="1"/>
      <c r="E136" s="76"/>
      <c r="F136" s="75"/>
      <c r="G136" s="75"/>
      <c r="H136" s="72"/>
      <c r="I136" s="76"/>
      <c r="J136" s="152"/>
      <c r="K136" s="151"/>
      <c r="L136" s="74"/>
      <c r="M136" s="1"/>
      <c r="N136" s="151"/>
      <c r="O136" s="153"/>
      <c r="P136" s="356"/>
      <c r="Q136" s="1"/>
      <c r="R136" s="1"/>
      <c r="S136" s="1"/>
      <c r="T136" s="150"/>
      <c r="U136" s="150"/>
      <c r="V136" s="76"/>
      <c r="W136" s="1"/>
      <c r="X136" s="322"/>
      <c r="Y136" s="150"/>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76"/>
      <c r="BW136" s="1"/>
      <c r="BX136" s="76"/>
      <c r="BY136" s="1"/>
    </row>
    <row r="137" spans="1:77" ht="16" x14ac:dyDescent="0.15">
      <c r="A137" s="9"/>
      <c r="B137" s="14" t="s">
        <v>165</v>
      </c>
      <c r="C137" s="900">
        <v>2.5000000000000001E-2</v>
      </c>
      <c r="D137" s="1"/>
      <c r="E137" s="76"/>
      <c r="F137" s="75"/>
      <c r="G137" s="75"/>
      <c r="H137" s="72"/>
      <c r="I137" s="76"/>
      <c r="J137" s="152"/>
      <c r="K137" s="151"/>
      <c r="L137" s="74"/>
      <c r="M137" s="1"/>
      <c r="N137" s="151"/>
      <c r="O137" s="153"/>
      <c r="P137" s="356"/>
      <c r="Q137" s="1"/>
      <c r="R137" s="1"/>
      <c r="S137" s="1"/>
      <c r="T137" s="150"/>
      <c r="U137" s="150"/>
      <c r="V137" s="76"/>
      <c r="W137" s="1"/>
      <c r="X137" s="322"/>
      <c r="Y137" s="150"/>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76"/>
      <c r="BW137" s="1"/>
      <c r="BX137" s="76"/>
      <c r="BY137" s="1"/>
    </row>
    <row r="138" spans="1:77" ht="15" x14ac:dyDescent="0.15">
      <c r="A138" s="1"/>
      <c r="B138" s="76"/>
      <c r="C138" s="76"/>
      <c r="D138" s="1"/>
      <c r="E138" s="76"/>
      <c r="F138" s="75"/>
      <c r="G138" s="75"/>
      <c r="H138" s="72"/>
      <c r="I138" s="76"/>
      <c r="J138" s="73"/>
      <c r="K138" s="151"/>
      <c r="L138" s="74"/>
      <c r="M138" s="1"/>
      <c r="N138" s="151"/>
      <c r="O138" s="150"/>
      <c r="P138" s="356"/>
      <c r="Q138" s="1"/>
      <c r="R138" s="1"/>
      <c r="S138" s="1"/>
      <c r="T138" s="150"/>
      <c r="U138" s="150"/>
      <c r="V138" s="76"/>
      <c r="W138" s="1"/>
      <c r="X138" s="322"/>
      <c r="Y138" s="150"/>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76"/>
      <c r="BW138" s="1"/>
      <c r="BX138" s="76"/>
      <c r="BY138" s="1"/>
    </row>
    <row r="139" spans="1:77" ht="15" x14ac:dyDescent="0.15">
      <c r="A139" s="1"/>
      <c r="B139" s="76"/>
      <c r="C139" s="76"/>
      <c r="D139" s="1"/>
      <c r="E139" s="76"/>
      <c r="F139" s="75"/>
      <c r="G139" s="75"/>
      <c r="H139" s="72"/>
      <c r="I139" s="76"/>
      <c r="J139" s="73"/>
      <c r="K139" s="151"/>
      <c r="L139" s="74"/>
      <c r="M139" s="1"/>
      <c r="N139" s="151"/>
      <c r="O139" s="150"/>
      <c r="P139" s="356"/>
      <c r="Q139" s="1"/>
      <c r="R139" s="1"/>
      <c r="S139" s="1"/>
      <c r="T139" s="150"/>
      <c r="U139" s="150"/>
      <c r="V139" s="76"/>
      <c r="W139" s="1"/>
      <c r="X139" s="322"/>
      <c r="Y139" s="150"/>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76"/>
      <c r="BW139" s="1"/>
      <c r="BX139" s="76"/>
      <c r="BY139" s="1"/>
    </row>
    <row r="140" spans="1:77" ht="16" x14ac:dyDescent="0.15">
      <c r="A140" s="156"/>
      <c r="B140" s="9" t="s">
        <v>108</v>
      </c>
      <c r="C140" s="76"/>
      <c r="D140" s="1"/>
      <c r="E140" s="76"/>
      <c r="F140" s="75"/>
      <c r="G140" s="75"/>
      <c r="H140" s="72"/>
      <c r="I140" s="76"/>
      <c r="J140" s="73"/>
      <c r="K140" s="151"/>
      <c r="L140" s="74"/>
      <c r="M140" s="1"/>
      <c r="N140" s="151"/>
      <c r="O140" s="150"/>
      <c r="P140" s="356"/>
      <c r="Q140" s="1"/>
      <c r="R140" s="1"/>
      <c r="S140" s="1"/>
      <c r="T140" s="150"/>
      <c r="U140" s="150"/>
      <c r="V140" s="76"/>
      <c r="W140" s="1"/>
      <c r="X140" s="322"/>
      <c r="Y140" s="150"/>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76"/>
      <c r="BW140" s="1"/>
      <c r="BX140" s="76"/>
      <c r="BY140" s="1"/>
    </row>
    <row r="141" spans="1:77" ht="16" x14ac:dyDescent="0.15">
      <c r="A141" s="1"/>
      <c r="B141" s="14" t="s">
        <v>37</v>
      </c>
      <c r="C141" s="901"/>
      <c r="D141" s="158"/>
      <c r="F141" s="159"/>
      <c r="G141" s="75"/>
      <c r="H141" s="72"/>
      <c r="I141" s="76"/>
      <c r="J141" s="73"/>
      <c r="K141" s="151"/>
      <c r="L141" s="74"/>
      <c r="M141" s="1"/>
      <c r="N141" s="151"/>
      <c r="O141" s="150"/>
      <c r="P141" s="356"/>
      <c r="Q141" s="1"/>
      <c r="R141" s="1"/>
      <c r="S141" s="1"/>
      <c r="T141" s="150"/>
      <c r="U141" s="150"/>
      <c r="V141" s="76"/>
      <c r="W141" s="1"/>
      <c r="X141" s="322"/>
      <c r="Y141" s="150"/>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76"/>
      <c r="BW141" s="1"/>
      <c r="BX141" s="76"/>
      <c r="BY141" s="1"/>
    </row>
    <row r="142" spans="1:77" ht="16" x14ac:dyDescent="0.15">
      <c r="A142" s="1"/>
      <c r="B142" s="14" t="s">
        <v>185</v>
      </c>
      <c r="C142" s="901"/>
      <c r="D142" s="158"/>
      <c r="F142" s="75"/>
      <c r="G142" s="75"/>
      <c r="H142" s="72"/>
      <c r="I142" s="76"/>
      <c r="J142" s="73"/>
      <c r="K142" s="151"/>
      <c r="L142" s="74"/>
      <c r="M142" s="1"/>
      <c r="N142" s="151"/>
      <c r="O142" s="150"/>
      <c r="P142" s="356"/>
      <c r="Q142" s="1"/>
      <c r="R142" s="1"/>
      <c r="S142" s="1"/>
      <c r="T142" s="150"/>
      <c r="U142" s="150"/>
      <c r="V142" s="76"/>
      <c r="W142" s="1"/>
      <c r="X142" s="322"/>
      <c r="Y142" s="150"/>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76"/>
      <c r="BW142" s="1"/>
      <c r="BX142" s="76"/>
      <c r="BY142" s="1"/>
    </row>
    <row r="143" spans="1:77" ht="16" x14ac:dyDescent="0.15">
      <c r="A143" s="1"/>
      <c r="B143" s="14" t="s">
        <v>186</v>
      </c>
      <c r="C143" s="901"/>
      <c r="D143" s="158"/>
      <c r="F143" s="75"/>
      <c r="G143" s="75"/>
      <c r="H143" s="72"/>
      <c r="I143" s="76"/>
      <c r="J143" s="73"/>
      <c r="K143" s="151"/>
      <c r="L143" s="74"/>
      <c r="M143" s="1"/>
      <c r="N143" s="151"/>
      <c r="O143" s="150"/>
      <c r="P143" s="356"/>
      <c r="Q143" s="1"/>
      <c r="R143" s="1"/>
      <c r="S143" s="1"/>
      <c r="T143" s="150"/>
      <c r="U143" s="150"/>
      <c r="V143" s="76"/>
      <c r="W143" s="1"/>
      <c r="X143" s="322"/>
      <c r="Y143" s="150"/>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76"/>
      <c r="BW143" s="1"/>
      <c r="BX143" s="76"/>
      <c r="BY143" s="1"/>
    </row>
    <row r="144" spans="1:77" ht="15" x14ac:dyDescent="0.15">
      <c r="A144" s="1"/>
      <c r="B144" s="76"/>
      <c r="C144" s="76"/>
      <c r="F144" s="75"/>
      <c r="G144" s="75"/>
      <c r="H144" s="72"/>
      <c r="I144" s="76"/>
      <c r="J144" s="73"/>
      <c r="K144" s="151"/>
      <c r="L144" s="74"/>
      <c r="M144" s="1"/>
      <c r="N144" s="151"/>
      <c r="O144" s="150"/>
      <c r="P144" s="356"/>
      <c r="Q144" s="1"/>
      <c r="R144" s="1"/>
      <c r="S144" s="1"/>
      <c r="T144" s="150"/>
      <c r="U144" s="150"/>
      <c r="V144" s="76"/>
      <c r="W144" s="1"/>
      <c r="X144" s="322"/>
      <c r="Y144" s="150"/>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76"/>
      <c r="BW144" s="1"/>
      <c r="BX144" s="76"/>
      <c r="BY144" s="1"/>
    </row>
    <row r="145" spans="1:77" ht="15.75" customHeight="1" x14ac:dyDescent="0.15">
      <c r="A145" s="160"/>
      <c r="B145" s="902"/>
      <c r="C145" s="163"/>
      <c r="D145" s="161"/>
      <c r="E145" s="3"/>
      <c r="F145" s="3"/>
      <c r="G145" s="3"/>
      <c r="H145" s="903"/>
      <c r="I145" s="163"/>
      <c r="J145" s="162"/>
      <c r="K145" s="3"/>
      <c r="L145" s="904"/>
      <c r="M145" s="3"/>
      <c r="N145" s="3"/>
      <c r="O145" s="3"/>
      <c r="P145" s="905"/>
      <c r="Q145" s="3"/>
      <c r="R145" s="3"/>
      <c r="S145" s="3"/>
      <c r="T145" s="3"/>
      <c r="U145" s="3"/>
      <c r="V145" s="163"/>
      <c r="W145" s="3"/>
      <c r="X145" s="906"/>
      <c r="Y145" s="3"/>
      <c r="Z145" s="161"/>
      <c r="AA145" s="161"/>
      <c r="AB145" s="161"/>
      <c r="AC145" s="161"/>
      <c r="AD145" s="161"/>
      <c r="AE145" s="161"/>
      <c r="AF145" s="161"/>
      <c r="AG145" s="161"/>
      <c r="AH145" s="161"/>
      <c r="AI145" s="161"/>
      <c r="AJ145" s="161"/>
      <c r="AK145" s="161"/>
      <c r="AL145" s="161"/>
      <c r="AM145" s="161"/>
      <c r="AN145" s="161"/>
      <c r="AO145" s="161"/>
      <c r="AP145" s="161"/>
      <c r="AQ145" s="161"/>
      <c r="AR145" s="161"/>
      <c r="AS145" s="161"/>
      <c r="AT145" s="161"/>
      <c r="AU145" s="161"/>
      <c r="AV145" s="161"/>
      <c r="AW145" s="161"/>
      <c r="AX145" s="161"/>
      <c r="AY145" s="161"/>
      <c r="AZ145" s="161"/>
      <c r="BA145" s="161"/>
      <c r="BB145" s="161"/>
      <c r="BC145" s="161"/>
      <c r="BD145" s="161"/>
      <c r="BE145" s="161"/>
      <c r="BF145" s="161"/>
      <c r="BG145" s="161"/>
      <c r="BH145" s="161"/>
      <c r="BI145" s="161"/>
      <c r="BJ145" s="161"/>
      <c r="BK145" s="161"/>
      <c r="BL145" s="161"/>
      <c r="BM145" s="161"/>
      <c r="BN145" s="161"/>
      <c r="BO145" s="161"/>
      <c r="BP145" s="161"/>
      <c r="BQ145" s="161"/>
      <c r="BR145" s="161"/>
      <c r="BS145" s="161"/>
      <c r="BT145" s="161"/>
      <c r="BU145" s="3"/>
      <c r="BV145" s="163"/>
      <c r="BW145" s="3"/>
      <c r="BX145" s="163"/>
      <c r="BY145" s="3"/>
    </row>
    <row r="146" spans="1:77" ht="15.75" customHeight="1" x14ac:dyDescent="0.15">
      <c r="A146" s="160"/>
      <c r="B146" s="902"/>
      <c r="C146" s="163"/>
      <c r="D146" s="161"/>
      <c r="E146" s="3"/>
      <c r="F146" s="3"/>
      <c r="G146" s="3"/>
      <c r="H146" s="903"/>
      <c r="I146" s="163"/>
      <c r="J146" s="162"/>
      <c r="K146" s="3"/>
      <c r="L146" s="904"/>
      <c r="M146" s="3"/>
      <c r="N146" s="3"/>
      <c r="O146" s="3"/>
      <c r="P146" s="905"/>
      <c r="Q146" s="3"/>
      <c r="R146" s="3"/>
      <c r="S146" s="3"/>
      <c r="T146" s="3"/>
      <c r="U146" s="3"/>
      <c r="V146" s="163"/>
      <c r="W146" s="3"/>
      <c r="X146" s="906"/>
      <c r="Y146" s="3"/>
      <c r="Z146" s="161"/>
      <c r="AA146" s="161"/>
      <c r="AB146" s="161"/>
      <c r="AC146" s="161"/>
      <c r="AD146" s="161"/>
      <c r="AE146" s="161"/>
      <c r="AF146" s="161"/>
      <c r="AG146" s="161"/>
      <c r="AH146" s="161"/>
      <c r="AI146" s="161"/>
      <c r="AJ146" s="161"/>
      <c r="AK146" s="161"/>
      <c r="AL146" s="161"/>
      <c r="AM146" s="161"/>
      <c r="AN146" s="161"/>
      <c r="AO146" s="161"/>
      <c r="AP146" s="161"/>
      <c r="AQ146" s="161"/>
      <c r="AR146" s="161"/>
      <c r="AS146" s="161"/>
      <c r="AT146" s="161"/>
      <c r="AU146" s="161"/>
      <c r="AV146" s="161"/>
      <c r="AW146" s="161"/>
      <c r="AX146" s="161"/>
      <c r="AY146" s="161"/>
      <c r="AZ146" s="161"/>
      <c r="BA146" s="161"/>
      <c r="BB146" s="161"/>
      <c r="BC146" s="161"/>
      <c r="BD146" s="161"/>
      <c r="BE146" s="161"/>
      <c r="BF146" s="161"/>
      <c r="BG146" s="161"/>
      <c r="BH146" s="161"/>
      <c r="BI146" s="161"/>
      <c r="BJ146" s="161"/>
      <c r="BK146" s="161"/>
      <c r="BL146" s="161"/>
      <c r="BM146" s="161"/>
      <c r="BN146" s="161"/>
      <c r="BO146" s="161"/>
      <c r="BP146" s="161"/>
      <c r="BQ146" s="161"/>
      <c r="BR146" s="161"/>
      <c r="BS146" s="161"/>
      <c r="BT146" s="161"/>
      <c r="BU146" s="3"/>
      <c r="BV146" s="163"/>
      <c r="BW146" s="3"/>
      <c r="BX146" s="163"/>
      <c r="BY146" s="3"/>
    </row>
    <row r="147" spans="1:77" ht="15.75" customHeight="1" x14ac:dyDescent="0.15">
      <c r="A147" s="160"/>
      <c r="B147" s="902"/>
      <c r="C147" s="163"/>
      <c r="D147" s="161"/>
      <c r="E147" s="3"/>
      <c r="F147" s="3"/>
      <c r="G147" s="3"/>
      <c r="H147" s="903"/>
      <c r="I147" s="163"/>
      <c r="J147" s="162"/>
      <c r="K147" s="3"/>
      <c r="L147" s="904"/>
      <c r="M147" s="3"/>
      <c r="N147" s="3"/>
      <c r="O147" s="3"/>
      <c r="P147" s="905"/>
      <c r="Q147" s="3"/>
      <c r="R147" s="3"/>
      <c r="S147" s="3"/>
      <c r="T147" s="3"/>
      <c r="U147" s="3"/>
      <c r="V147" s="163"/>
      <c r="W147" s="3"/>
      <c r="X147" s="906"/>
      <c r="Y147" s="3"/>
      <c r="Z147" s="161"/>
      <c r="AA147" s="161"/>
      <c r="AB147" s="161"/>
      <c r="AC147" s="161"/>
      <c r="AD147" s="161"/>
      <c r="AE147" s="161"/>
      <c r="AF147" s="161"/>
      <c r="AG147" s="161"/>
      <c r="AH147" s="161"/>
      <c r="AI147" s="161"/>
      <c r="AJ147" s="161"/>
      <c r="AK147" s="161"/>
      <c r="AL147" s="161"/>
      <c r="AM147" s="161"/>
      <c r="AN147" s="161"/>
      <c r="AO147" s="161"/>
      <c r="AP147" s="161"/>
      <c r="AQ147" s="161"/>
      <c r="AR147" s="161"/>
      <c r="AS147" s="161"/>
      <c r="AT147" s="161"/>
      <c r="AU147" s="161"/>
      <c r="AV147" s="161"/>
      <c r="AW147" s="161"/>
      <c r="AX147" s="161"/>
      <c r="AY147" s="161"/>
      <c r="AZ147" s="161"/>
      <c r="BA147" s="161"/>
      <c r="BB147" s="161"/>
      <c r="BC147" s="161"/>
      <c r="BD147" s="161"/>
      <c r="BE147" s="161"/>
      <c r="BF147" s="161"/>
      <c r="BG147" s="161"/>
      <c r="BH147" s="161"/>
      <c r="BI147" s="161"/>
      <c r="BJ147" s="161"/>
      <c r="BK147" s="161"/>
      <c r="BL147" s="161"/>
      <c r="BM147" s="161"/>
      <c r="BN147" s="161"/>
      <c r="BO147" s="161"/>
      <c r="BP147" s="161"/>
      <c r="BQ147" s="161"/>
      <c r="BR147" s="161"/>
      <c r="BS147" s="161"/>
      <c r="BT147" s="161"/>
      <c r="BU147" s="3"/>
      <c r="BV147" s="163"/>
      <c r="BW147" s="3"/>
      <c r="BX147" s="163"/>
      <c r="BY147" s="3"/>
    </row>
    <row r="148" spans="1:77" ht="15.75" customHeight="1" x14ac:dyDescent="0.15">
      <c r="A148" s="160"/>
      <c r="B148" s="902"/>
      <c r="C148" s="163"/>
      <c r="D148" s="161"/>
      <c r="E148" s="3"/>
      <c r="F148" s="3"/>
      <c r="G148" s="3"/>
      <c r="H148" s="903"/>
      <c r="I148" s="163"/>
      <c r="J148" s="162"/>
      <c r="K148" s="3"/>
      <c r="L148" s="904"/>
      <c r="M148" s="3"/>
      <c r="N148" s="3"/>
      <c r="O148" s="3"/>
      <c r="P148" s="905"/>
      <c r="Q148" s="3"/>
      <c r="R148" s="3"/>
      <c r="S148" s="3"/>
      <c r="T148" s="3"/>
      <c r="U148" s="3"/>
      <c r="V148" s="163"/>
      <c r="W148" s="3"/>
      <c r="X148" s="906"/>
      <c r="Y148" s="3"/>
      <c r="Z148" s="161"/>
      <c r="AA148" s="161"/>
      <c r="AB148" s="161"/>
      <c r="AC148" s="161"/>
      <c r="AD148" s="161"/>
      <c r="AE148" s="161"/>
      <c r="AF148" s="161"/>
      <c r="AG148" s="161"/>
      <c r="AH148" s="161"/>
      <c r="AI148" s="161"/>
      <c r="AJ148" s="161"/>
      <c r="AK148" s="161"/>
      <c r="AL148" s="161"/>
      <c r="AM148" s="161"/>
      <c r="AN148" s="161"/>
      <c r="AO148" s="161"/>
      <c r="AP148" s="161"/>
      <c r="AQ148" s="161"/>
      <c r="AR148" s="161"/>
      <c r="AS148" s="161"/>
      <c r="AT148" s="161"/>
      <c r="AU148" s="161"/>
      <c r="AV148" s="161"/>
      <c r="AW148" s="161"/>
      <c r="AX148" s="161"/>
      <c r="AY148" s="161"/>
      <c r="AZ148" s="161"/>
      <c r="BA148" s="161"/>
      <c r="BB148" s="161"/>
      <c r="BC148" s="161"/>
      <c r="BD148" s="161"/>
      <c r="BE148" s="161"/>
      <c r="BF148" s="161"/>
      <c r="BG148" s="161"/>
      <c r="BH148" s="161"/>
      <c r="BI148" s="161"/>
      <c r="BJ148" s="161"/>
      <c r="BK148" s="161"/>
      <c r="BL148" s="161"/>
      <c r="BM148" s="161"/>
      <c r="BN148" s="161"/>
      <c r="BO148" s="161"/>
      <c r="BP148" s="161"/>
      <c r="BQ148" s="161"/>
      <c r="BR148" s="161"/>
      <c r="BS148" s="161"/>
      <c r="BT148" s="161"/>
      <c r="BU148" s="3"/>
      <c r="BV148" s="163"/>
      <c r="BW148" s="3"/>
      <c r="BX148" s="163"/>
      <c r="BY148" s="3"/>
    </row>
    <row r="149" spans="1:77" ht="15.75" customHeight="1" x14ac:dyDescent="0.15">
      <c r="A149" s="160"/>
      <c r="B149" s="902"/>
      <c r="C149" s="163"/>
      <c r="D149" s="161"/>
      <c r="E149" s="3"/>
      <c r="F149" s="3"/>
      <c r="G149" s="3"/>
      <c r="H149" s="903"/>
      <c r="I149" s="163"/>
      <c r="J149" s="162"/>
      <c r="K149" s="3"/>
      <c r="L149" s="904"/>
      <c r="M149" s="3"/>
      <c r="N149" s="3"/>
      <c r="O149" s="3"/>
      <c r="P149" s="905"/>
      <c r="Q149" s="3"/>
      <c r="R149" s="3"/>
      <c r="S149" s="3"/>
      <c r="T149" s="3"/>
      <c r="U149" s="3"/>
      <c r="V149" s="163"/>
      <c r="W149" s="3"/>
      <c r="X149" s="906"/>
      <c r="Y149" s="3"/>
      <c r="Z149" s="161"/>
      <c r="AA149" s="161"/>
      <c r="AB149" s="161"/>
      <c r="AC149" s="161"/>
      <c r="AD149" s="161"/>
      <c r="AE149" s="161"/>
      <c r="AF149" s="161"/>
      <c r="AG149" s="161"/>
      <c r="AH149" s="161"/>
      <c r="AI149" s="161"/>
      <c r="AJ149" s="161"/>
      <c r="AK149" s="161"/>
      <c r="AL149" s="161"/>
      <c r="AM149" s="161"/>
      <c r="AN149" s="161"/>
      <c r="AO149" s="161"/>
      <c r="AP149" s="161"/>
      <c r="AQ149" s="161"/>
      <c r="AR149" s="161"/>
      <c r="AS149" s="161"/>
      <c r="AT149" s="161"/>
      <c r="AU149" s="161"/>
      <c r="AV149" s="161"/>
      <c r="AW149" s="161"/>
      <c r="AX149" s="161"/>
      <c r="AY149" s="161"/>
      <c r="AZ149" s="161"/>
      <c r="BA149" s="161"/>
      <c r="BB149" s="161"/>
      <c r="BC149" s="161"/>
      <c r="BD149" s="161"/>
      <c r="BE149" s="161"/>
      <c r="BF149" s="161"/>
      <c r="BG149" s="161"/>
      <c r="BH149" s="161"/>
      <c r="BI149" s="161"/>
      <c r="BJ149" s="161"/>
      <c r="BK149" s="161"/>
      <c r="BL149" s="161"/>
      <c r="BM149" s="161"/>
      <c r="BN149" s="161"/>
      <c r="BO149" s="161"/>
      <c r="BP149" s="161"/>
      <c r="BQ149" s="161"/>
      <c r="BR149" s="161"/>
      <c r="BS149" s="161"/>
      <c r="BT149" s="161"/>
      <c r="BU149" s="3"/>
      <c r="BV149" s="163"/>
      <c r="BW149" s="3"/>
      <c r="BX149" s="163"/>
      <c r="BY149" s="3"/>
    </row>
    <row r="150" spans="1:77" ht="15.75" customHeight="1" x14ac:dyDescent="0.15">
      <c r="A150" s="160"/>
      <c r="B150" s="902" t="s">
        <v>109</v>
      </c>
      <c r="C150" s="163"/>
      <c r="D150" s="161"/>
      <c r="E150" s="3"/>
      <c r="F150" s="3" t="str">
        <f t="shared" ref="F150:H150" si="70">IF(F31=F86,"Yes","No")</f>
        <v>Yes</v>
      </c>
      <c r="G150" s="3" t="str">
        <f t="shared" si="70"/>
        <v>Yes</v>
      </c>
      <c r="H150" s="903" t="str">
        <f t="shared" si="70"/>
        <v>Yes</v>
      </c>
      <c r="I150" s="163"/>
      <c r="J150" s="162"/>
      <c r="K150" s="3"/>
      <c r="L150" s="904" t="str">
        <f>IF(L31=L86,"Yes","No")</f>
        <v>Yes</v>
      </c>
      <c r="M150" s="3"/>
      <c r="N150" s="3"/>
      <c r="O150" s="3" t="str">
        <f t="shared" ref="O150:P150" si="71">IF(O31=O86,"Yes","No")</f>
        <v>Yes</v>
      </c>
      <c r="P150" s="905" t="str">
        <f t="shared" si="71"/>
        <v>Yes</v>
      </c>
      <c r="Q150" s="3"/>
      <c r="R150" s="3"/>
      <c r="S150" s="3"/>
      <c r="T150" s="3"/>
      <c r="U150" s="3" t="str">
        <f>IF(U31=U86,"Yes","No")</f>
        <v>Yes</v>
      </c>
      <c r="V150" s="163"/>
      <c r="W150" s="3"/>
      <c r="X150" s="906"/>
      <c r="Y150" s="3" t="str">
        <f>IF(Y31=Y86,"Yes","No")</f>
        <v>Yes</v>
      </c>
      <c r="Z150" s="161"/>
      <c r="AA150" s="161"/>
      <c r="AB150" s="161"/>
      <c r="AC150" s="161"/>
      <c r="AD150" s="161"/>
      <c r="AE150" s="161"/>
      <c r="AF150" s="161"/>
      <c r="AG150" s="161"/>
      <c r="AH150" s="161"/>
      <c r="AI150" s="161"/>
      <c r="AJ150" s="161"/>
      <c r="AK150" s="161"/>
      <c r="AL150" s="161"/>
      <c r="AM150" s="161"/>
      <c r="AN150" s="161"/>
      <c r="AO150" s="161"/>
      <c r="AP150" s="161"/>
      <c r="AQ150" s="161"/>
      <c r="AR150" s="161"/>
      <c r="AS150" s="161"/>
      <c r="AT150" s="161"/>
      <c r="AU150" s="161"/>
      <c r="AV150" s="161"/>
      <c r="AW150" s="161"/>
      <c r="AX150" s="161"/>
      <c r="AY150" s="161"/>
      <c r="AZ150" s="161"/>
      <c r="BA150" s="161"/>
      <c r="BB150" s="161"/>
      <c r="BC150" s="161"/>
      <c r="BD150" s="161"/>
      <c r="BE150" s="161"/>
      <c r="BF150" s="161"/>
      <c r="BG150" s="161"/>
      <c r="BH150" s="161"/>
      <c r="BI150" s="161"/>
      <c r="BJ150" s="161"/>
      <c r="BK150" s="161"/>
      <c r="BL150" s="161"/>
      <c r="BM150" s="161"/>
      <c r="BN150" s="161"/>
      <c r="BO150" s="161"/>
      <c r="BP150" s="161"/>
      <c r="BQ150" s="161"/>
      <c r="BR150" s="161"/>
      <c r="BS150" s="161"/>
      <c r="BT150" s="161"/>
      <c r="BU150" s="3"/>
      <c r="BV150" s="163"/>
      <c r="BW150" s="3"/>
      <c r="BX150" s="163"/>
      <c r="BY150" s="3"/>
    </row>
    <row r="151" spans="1:77" ht="15" x14ac:dyDescent="0.15">
      <c r="A151" s="1"/>
      <c r="B151" s="76"/>
      <c r="C151" s="76"/>
      <c r="D151" s="1"/>
      <c r="E151" s="76"/>
      <c r="F151" s="75"/>
      <c r="G151" s="75"/>
      <c r="H151" s="72"/>
      <c r="I151" s="76"/>
      <c r="J151" s="73"/>
      <c r="K151" s="151"/>
      <c r="L151" s="74"/>
      <c r="M151" s="1"/>
      <c r="N151" s="151"/>
      <c r="O151" s="150"/>
      <c r="P151" s="356"/>
      <c r="Q151" s="1"/>
      <c r="R151" s="1"/>
      <c r="S151" s="1"/>
      <c r="T151" s="150"/>
      <c r="U151" s="150"/>
      <c r="V151" s="76"/>
      <c r="W151" s="1"/>
      <c r="X151" s="322"/>
      <c r="Y151" s="150"/>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76"/>
      <c r="BW151" s="1"/>
      <c r="BX151" s="76"/>
      <c r="BY151" s="1"/>
    </row>
  </sheetData>
  <mergeCells count="45">
    <mergeCell ref="B118:D118"/>
    <mergeCell ref="B126:C126"/>
    <mergeCell ref="B134:C134"/>
    <mergeCell ref="B52:B58"/>
    <mergeCell ref="B59:B68"/>
    <mergeCell ref="C59:C61"/>
    <mergeCell ref="C63:C66"/>
    <mergeCell ref="C67:C68"/>
    <mergeCell ref="B70:B73"/>
    <mergeCell ref="C70:C71"/>
    <mergeCell ref="B107:D107"/>
    <mergeCell ref="C52:C53"/>
    <mergeCell ref="B74:B81"/>
    <mergeCell ref="B83:B84"/>
    <mergeCell ref="B86:D86"/>
    <mergeCell ref="Q107:T107"/>
    <mergeCell ref="B113:C113"/>
    <mergeCell ref="B114:B115"/>
    <mergeCell ref="B116:B117"/>
    <mergeCell ref="V92:X92"/>
    <mergeCell ref="B92:D92"/>
    <mergeCell ref="B97:C97"/>
    <mergeCell ref="B103:D103"/>
    <mergeCell ref="V103:X103"/>
    <mergeCell ref="V86:X86"/>
    <mergeCell ref="B39:D39"/>
    <mergeCell ref="B41:D41"/>
    <mergeCell ref="Q41:T41"/>
    <mergeCell ref="B48:C48"/>
    <mergeCell ref="B50:C50"/>
    <mergeCell ref="B31:D31"/>
    <mergeCell ref="Q31:T31"/>
    <mergeCell ref="B33:D33"/>
    <mergeCell ref="B35:D35"/>
    <mergeCell ref="B37:D37"/>
    <mergeCell ref="B7:B12"/>
    <mergeCell ref="B13:B16"/>
    <mergeCell ref="B18:B20"/>
    <mergeCell ref="B21:B27"/>
    <mergeCell ref="B29:B30"/>
    <mergeCell ref="I3:L3"/>
    <mergeCell ref="M3:O3"/>
    <mergeCell ref="Q3:U3"/>
    <mergeCell ref="V3:Y3"/>
    <mergeCell ref="B6:C6"/>
  </mergeCells>
  <conditionalFormatting sqref="F7:H30 F32:H35">
    <cfRule type="cellIs" dxfId="5" priority="1" operator="equal">
      <formula>0</formula>
    </cfRule>
  </conditionalFormatting>
  <conditionalFormatting sqref="F31:F41 G32:H35 F107">
    <cfRule type="cellIs" dxfId="4" priority="2" operator="equal">
      <formula>"E70"</formula>
    </cfRule>
  </conditionalFormatting>
  <conditionalFormatting sqref="D1 F145:Y150">
    <cfRule type="containsText" dxfId="3" priority="3" operator="containsText" text="Yes">
      <formula>NOT(ISERROR(SEARCH(("Yes"),(D1))))</formula>
    </cfRule>
  </conditionalFormatting>
  <conditionalFormatting sqref="D1 F145:Y150">
    <cfRule type="containsText" dxfId="2" priority="4" operator="containsText" text="No">
      <formula>NOT(ISERROR(SEARCH(("No"),(D1))))</formula>
    </cfRule>
  </conditionalFormatting>
  <conditionalFormatting sqref="D1">
    <cfRule type="cellIs" dxfId="1" priority="5" operator="equal">
      <formula>"CORRECT"</formula>
    </cfRule>
  </conditionalFormatting>
  <conditionalFormatting sqref="D1">
    <cfRule type="cellIs" dxfId="0" priority="6" operator="equal">
      <formula>"ERROR - Check R124"</formula>
    </cfRule>
  </conditionalFormatting>
  <pageMargins left="0.7" right="0.7" top="0.75" bottom="0.75" header="0.3" footer="0.3"/>
  <ignoredErrors>
    <ignoredError sqref="Y65 AE65 AF65:BS65" formula="1"/>
    <ignoredError sqref="C131" numberStoredAsText="1"/>
  </ignoredErrors>
  <drawing r:id="rId1"/>
  <legacy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Cover</vt:lpstr>
      <vt:lpstr>Costing Schedule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Harry Lopes</cp:lastModifiedBy>
  <dcterms:created xsi:type="dcterms:W3CDTF">2022-05-10T00:19:18Z</dcterms:created>
  <dcterms:modified xsi:type="dcterms:W3CDTF">2022-05-10T12:20:27Z</dcterms:modified>
  <cp:category/>
</cp:coreProperties>
</file>